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140" windowWidth="32220" windowHeight="13620" activeTab="0"/>
  </bookViews>
  <sheets>
    <sheet name="Hcontact.xls" sheetId="1" r:id="rId1"/>
  </sheets>
  <definedNames>
    <definedName name="a">'Hcontact.xls'!$B$27</definedName>
    <definedName name="A0age">'Hcontact.xls'!$E$12</definedName>
    <definedName name="A0alt">'Hcontact.xls'!$E$5</definedName>
    <definedName name="A1age">'Hcontact.xls'!$E$13</definedName>
    <definedName name="A1alt">'Hcontact.xls'!$E$6</definedName>
    <definedName name="A2age">'Hcontact.xls'!$E$14</definedName>
    <definedName name="A2alt">'Hcontact.xls'!$E$7</definedName>
    <definedName name="A3age">'Hcontact.xls'!$E$15</definedName>
    <definedName name="A3alt">'Hcontact.xls'!$E$8</definedName>
    <definedName name="A4age">'Hcontact.xls'!$E$16</definedName>
    <definedName name="A4alt">'Hcontact.xls'!$E$9</definedName>
    <definedName name="A5age">'Hcontact.xls'!$E$17</definedName>
    <definedName name="A5alt">'Hcontact.xls'!$E$10</definedName>
    <definedName name="alpha">'Hcontact.xls'!$D$19</definedName>
    <definedName name="B0age">'Hcontact.xls'!$G$12</definedName>
    <definedName name="B0alt">'Hcontact.xls'!$G$5</definedName>
    <definedName name="B1age">'Hcontact.xls'!$G$13</definedName>
    <definedName name="B1alt">'Hcontact.xls'!$G$6</definedName>
    <definedName name="B2age">'Hcontact.xls'!$G$14</definedName>
    <definedName name="B2alt">'Hcontact.xls'!$G$7</definedName>
    <definedName name="B3age">'Hcontact.xls'!$G$15</definedName>
    <definedName name="B3alt">'Hcontact.xls'!$G$8</definedName>
    <definedName name="B4age">'Hcontact.xls'!$G$16</definedName>
    <definedName name="B4alt">'Hcontact.xls'!$G$9</definedName>
    <definedName name="B5age">'Hcontact.xls'!$G$17</definedName>
    <definedName name="B5alt">'Hcontact.xls'!$G$10</definedName>
    <definedName name="beta">'Hcontact.xls'!$D$20</definedName>
    <definedName name="cc">'Hcontact.xls'!$B$19</definedName>
    <definedName name="costheta">'Hcontact.xls'!$D$17</definedName>
    <definedName name="dd">'Hcontact.xls'!$B$20</definedName>
    <definedName name="DmDm">'Hcontact.xls'!#REF!</definedName>
    <definedName name="Ebar">'Hcontact.xls'!$B$14</definedName>
    <definedName name="Ee">'Hcontact.xls'!$B$17</definedName>
    <definedName name="Eone">'Hcontact.xls'!$B$13</definedName>
    <definedName name="Eroller">'Hcontact.xls'!$B$13</definedName>
    <definedName name="Etwo">'Hcontact.xls'!$B$14</definedName>
    <definedName name="F">'Hcontact.xls'!$B$10</definedName>
    <definedName name="Fpercent">'Hcontact.xls'!#REF!</definedName>
    <definedName name="L0age">'Hcontact.xls'!$I$12</definedName>
    <definedName name="L0alt">'Hcontact.xls'!$I$5</definedName>
    <definedName name="L1age">'Hcontact.xls'!$I$13</definedName>
    <definedName name="L1alt">'Hcontact.xls'!$I$6</definedName>
    <definedName name="L2age">'Hcontact.xls'!$I$14</definedName>
    <definedName name="L2alt">'Hcontact.xls'!$I$7</definedName>
    <definedName name="L3age">'Hcontact.xls'!$I$15</definedName>
    <definedName name="L3alt">'Hcontact.xls'!$I$8</definedName>
    <definedName name="L4age">'Hcontact.xls'!$I$16</definedName>
    <definedName name="L4alt">'Hcontact.xls'!$I$9</definedName>
    <definedName name="L5age">'Hcontact.xls'!$I$17</definedName>
    <definedName name="L5alt">'Hcontact.xls'!$I$10</definedName>
    <definedName name="lambda">'Hcontact.xls'!$D$21</definedName>
    <definedName name="mu">'Hcontact.xls'!#REF!</definedName>
    <definedName name="phi">'Hcontact.xls'!$B$12</definedName>
    <definedName name="Phi__degrees">'Hcontact.xls'!$B$12</definedName>
    <definedName name="Pmax">'Hcontact.xls'!$B$6</definedName>
    <definedName name="_xlnm.Print_Area" localSheetId="0">'Hcontact.xls'!$A$5:$D$32</definedName>
    <definedName name="q">'Hcontact.xls'!$B$21</definedName>
    <definedName name="re">'Hcontact.xls'!$B$18</definedName>
    <definedName name="Ronemaj">'Hcontact.xls'!$B$6</definedName>
    <definedName name="Ronemin">'Hcontact.xls'!$B$7</definedName>
    <definedName name="Rtwomaj">'Hcontact.xls'!$B$8</definedName>
    <definedName name="Rtwomin">'Hcontact.xls'!$B$9</definedName>
    <definedName name="sigult">'Hcontact.xls'!$B$11</definedName>
    <definedName name="theta_1">'Hcontact.xls'!$D$18</definedName>
    <definedName name="tm">'Hcontact.xls'!#REF!</definedName>
    <definedName name="vbar">'Hcontact.xls'!$B$16</definedName>
    <definedName name="vone">'Hcontact.xls'!$B$15</definedName>
    <definedName name="vroller">'Hcontact.xls'!$B$15</definedName>
    <definedName name="vtwo">'Hcontact.xls'!$B$16</definedName>
    <definedName name="Xpercent">'Hcontact.xls'!#REF!</definedName>
    <definedName name="zinc">'Hcontact.xls'!$B$39</definedName>
  </definedNames>
  <calcPr fullCalcOnLoad="1"/>
</workbook>
</file>

<file path=xl/sharedStrings.xml><?xml version="1.0" encoding="utf-8"?>
<sst xmlns="http://schemas.openxmlformats.org/spreadsheetml/2006/main" count="44" uniqueCount="44">
  <si>
    <t>Phi (degrees)</t>
  </si>
  <si>
    <t>Elastic modulus Eone</t>
  </si>
  <si>
    <t>Elastic modulus Etwo</t>
  </si>
  <si>
    <t>Poisson's ratio vone</t>
  </si>
  <si>
    <t>Poisson's ratio vtwo</t>
  </si>
  <si>
    <t>Equivelent modulus Ee</t>
  </si>
  <si>
    <t>Equivelent radius Re</t>
  </si>
  <si>
    <t>costheta</t>
  </si>
  <si>
    <t>theta</t>
  </si>
  <si>
    <t>alpha</t>
  </si>
  <si>
    <t>beta</t>
  </si>
  <si>
    <t>lambda</t>
  </si>
  <si>
    <t>Deflection at the one contact interface</t>
  </si>
  <si>
    <t xml:space="preserve">    Deflection (µunits)</t>
  </si>
  <si>
    <t>Stiffness (load/µunits)</t>
  </si>
  <si>
    <t>zinc</t>
  </si>
  <si>
    <t>depth</t>
  </si>
  <si>
    <t>Contact pressure, q</t>
  </si>
  <si>
    <t>for circular contact a = c, a</t>
  </si>
  <si>
    <t>z/a</t>
  </si>
  <si>
    <t>Depth at maximum shear stress/a</t>
  </si>
  <si>
    <t>Max shear stress/ultimate tensile</t>
  </si>
  <si>
    <t>To determine Hertz contact stress between bodies</t>
  </si>
  <si>
    <t>Be consistent with units!</t>
  </si>
  <si>
    <t>Hertz_Point_Contact.xls</t>
  </si>
  <si>
    <t>Ronemaj (mm)</t>
  </si>
  <si>
    <t>Ronemin (mm)</t>
  </si>
  <si>
    <t>Rtwomaj (mm)</t>
  </si>
  <si>
    <t>Rtwomin (mm)</t>
  </si>
  <si>
    <t>Applied load F (N)</t>
  </si>
  <si>
    <t>Ultimate tensile stress (N/mm^2)</t>
  </si>
  <si>
    <t>ellipse c (mm)</t>
  </si>
  <si>
    <t>ellipse d (mm)</t>
  </si>
  <si>
    <r>
      <t xml:space="preserve">Enters numbers in </t>
    </r>
    <r>
      <rPr>
        <b/>
        <sz val="8"/>
        <rFont val="Times New Roman"/>
        <family val="1"/>
      </rPr>
      <t>BOLD,</t>
    </r>
    <r>
      <rPr>
        <sz val="8"/>
        <rFont val="Times New Roman"/>
        <family val="1"/>
      </rPr>
      <t xml:space="preserve"> Results in </t>
    </r>
    <r>
      <rPr>
        <b/>
        <sz val="8"/>
        <color indexed="10"/>
        <rFont val="Times New Roman"/>
        <family val="1"/>
      </rPr>
      <t>RED</t>
    </r>
  </si>
  <si>
    <t>sz/sultimate</t>
  </si>
  <si>
    <t>sq/sultimate</t>
  </si>
  <si>
    <t>t/sultimate</t>
  </si>
  <si>
    <t>Maximum shear stress/(ultimate tensile/2)</t>
  </si>
  <si>
    <t>total load desired</t>
  </si>
  <si>
    <t>number of balls</t>
  </si>
  <si>
    <t>area factor</t>
  </si>
  <si>
    <t>diameter of circle to contain balls</t>
  </si>
  <si>
    <t>Stress ratio should be less than 1)</t>
  </si>
  <si>
    <t>By Alex Slocum, Last modified 2012.11.06 by Alex Slocum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</si>
</sst>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"/>
    <numFmt numFmtId="167" formatCode="0.0000"/>
    <numFmt numFmtId="168" formatCode="0.00000"/>
    <numFmt numFmtId="169" formatCode="#,##0.0"/>
    <numFmt numFmtId="170" formatCode="#,##0.000"/>
    <numFmt numFmtId="171" formatCode="0.0000000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1" fontId="4" fillId="0" borderId="10" xfId="0" applyNumberFormat="1" applyFont="1" applyFill="1" applyBorder="1" applyAlignment="1">
      <alignment/>
    </xf>
    <xf numFmtId="11" fontId="6" fillId="0" borderId="10" xfId="0" applyNumberFormat="1" applyFont="1" applyFill="1" applyBorder="1" applyAlignment="1">
      <alignment/>
    </xf>
    <xf numFmtId="167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1"/>
    </xf>
    <xf numFmtId="2" fontId="6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1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/>
    </xf>
    <xf numFmtId="165" fontId="4" fillId="0" borderId="11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167" fontId="43" fillId="0" borderId="0" xfId="0" applyNumberFormat="1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State of Stress below circular Hertz contact</a:t>
            </a:r>
          </a:p>
        </c:rich>
      </c:tx>
      <c:layout>
        <c:manualLayout>
          <c:xMode val="factor"/>
          <c:yMode val="factor"/>
          <c:x val="-0.0307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3"/>
          <c:w val="0.93925"/>
          <c:h val="0.76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'Hcontact.xls'!$C$40</c:f>
              <c:strCache>
                <c:ptCount val="1"/>
                <c:pt idx="0">
                  <c:v>sz/sultimate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'Hcontact.xls'!$B$41:$B$91</c:f>
              <c:numCache/>
            </c:numRef>
          </c:xVal>
          <c:yVal>
            <c:numRef>
              <c:f>'Hcontact.xls'!$C$41:$C$91</c:f>
              <c:numCache/>
            </c:numRef>
          </c:yVal>
          <c:smooth val="1"/>
        </c:ser>
        <c:ser>
          <c:idx val="1"/>
          <c:order val="1"/>
          <c:tx>
            <c:strRef>
              <c:f>'Hcontact.xls'!$D$40</c:f>
              <c:strCache>
                <c:ptCount val="1"/>
                <c:pt idx="0">
                  <c:v>sq/sultimate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'Hcontact.xls'!$B$41:$B$91</c:f>
              <c:numCache/>
            </c:numRef>
          </c:xVal>
          <c:yVal>
            <c:numRef>
              <c:f>'Hcontact.xls'!$D$41:$D$91</c:f>
              <c:numCache/>
            </c:numRef>
          </c:yVal>
          <c:smooth val="1"/>
        </c:ser>
        <c:ser>
          <c:idx val="2"/>
          <c:order val="2"/>
          <c:tx>
            <c:strRef>
              <c:f>'Hcontact.xls'!$E$40</c:f>
              <c:strCache>
                <c:ptCount val="1"/>
                <c:pt idx="0">
                  <c:v>t/sultimate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'Hcontact.xls'!$B$41:$B$91</c:f>
              <c:numCache/>
            </c:numRef>
          </c:xVal>
          <c:yVal>
            <c:numRef>
              <c:f>'Hcontact.xls'!$E$41:$E$91</c:f>
              <c:numCache/>
            </c:numRef>
          </c:yVal>
          <c:smooth val="1"/>
        </c:ser>
        <c:axId val="14048208"/>
        <c:axId val="59325009"/>
      </c:scatterChart>
      <c:valAx>
        <c:axId val="1404820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Distance below surface/circular contact radius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5009"/>
        <c:crosses val="autoZero"/>
        <c:crossBetween val="midCat"/>
        <c:dispUnits/>
      </c:valAx>
      <c:valAx>
        <c:axId val="59325009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Stress/ultimate tensile stress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2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9525</xdr:rowOff>
    </xdr:from>
    <xdr:to>
      <xdr:col>10</xdr:col>
      <xdr:colOff>628650</xdr:colOff>
      <xdr:row>26</xdr:row>
      <xdr:rowOff>76200</xdr:rowOff>
    </xdr:to>
    <xdr:graphicFrame>
      <xdr:nvGraphicFramePr>
        <xdr:cNvPr id="1" name="Chart 3"/>
        <xdr:cNvGraphicFramePr/>
      </xdr:nvGraphicFramePr>
      <xdr:xfrm>
        <a:off x="3838575" y="638175"/>
        <a:ext cx="92678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1123950</xdr:colOff>
      <xdr:row>39</xdr:row>
      <xdr:rowOff>85725</xdr:rowOff>
    </xdr:from>
    <xdr:to>
      <xdr:col>11</xdr:col>
      <xdr:colOff>257175</xdr:colOff>
      <xdr:row>44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5038725"/>
          <a:ext cx="7067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="200" zoomScaleNormal="200" workbookViewId="0" topLeftCell="A1">
      <selection activeCell="C4" sqref="C4"/>
    </sheetView>
  </sheetViews>
  <sheetFormatPr defaultColWidth="11.375" defaultRowHeight="12.75"/>
  <cols>
    <col min="1" max="1" width="37.125" style="16" customWidth="1"/>
    <col min="2" max="2" width="13.00390625" style="1" customWidth="1"/>
    <col min="3" max="3" width="20.875" style="1" customWidth="1"/>
    <col min="4" max="4" width="22.625" style="1" customWidth="1"/>
    <col min="5" max="5" width="12.25390625" style="1" customWidth="1"/>
    <col min="6" max="6" width="12.375" style="1" customWidth="1"/>
    <col min="7" max="12" width="11.375" style="1" customWidth="1"/>
    <col min="13" max="13" width="10.75390625" style="1" customWidth="1"/>
    <col min="14" max="14" width="12.125" style="1" customWidth="1"/>
    <col min="15" max="18" width="10.75390625" style="1" customWidth="1"/>
    <col min="19" max="16384" width="11.375" style="1" customWidth="1"/>
  </cols>
  <sheetData>
    <row r="1" spans="1:2" ht="9.75">
      <c r="A1" s="25" t="s">
        <v>24</v>
      </c>
      <c r="B1" s="25"/>
    </row>
    <row r="2" spans="1:2" ht="9.75">
      <c r="A2" s="26" t="s">
        <v>22</v>
      </c>
      <c r="B2" s="26"/>
    </row>
    <row r="3" spans="1:2" ht="9.75">
      <c r="A3" s="24" t="s">
        <v>43</v>
      </c>
      <c r="B3" s="24"/>
    </row>
    <row r="4" spans="1:2" ht="9.75">
      <c r="A4" s="24" t="s">
        <v>33</v>
      </c>
      <c r="B4" s="24"/>
    </row>
    <row r="5" spans="1:2" ht="10.5" thickBot="1">
      <c r="A5" s="22" t="s">
        <v>23</v>
      </c>
      <c r="B5" s="23"/>
    </row>
    <row r="6" spans="1:2" ht="9.75">
      <c r="A6" s="3" t="s">
        <v>25</v>
      </c>
      <c r="B6" s="20">
        <v>31</v>
      </c>
    </row>
    <row r="7" spans="1:2" ht="9.75">
      <c r="A7" s="4" t="s">
        <v>26</v>
      </c>
      <c r="B7" s="21">
        <v>6</v>
      </c>
    </row>
    <row r="8" spans="1:2" ht="9.75">
      <c r="A8" s="4" t="s">
        <v>27</v>
      </c>
      <c r="B8" s="21">
        <v>1000000</v>
      </c>
    </row>
    <row r="9" spans="1:2" ht="9.75">
      <c r="A9" s="4" t="s">
        <v>28</v>
      </c>
      <c r="B9" s="21">
        <v>31.5</v>
      </c>
    </row>
    <row r="10" spans="1:2" ht="9.75">
      <c r="A10" s="4" t="s">
        <v>29</v>
      </c>
      <c r="B10" s="21">
        <v>400</v>
      </c>
    </row>
    <row r="11" spans="1:2" ht="9.75">
      <c r="A11" s="4" t="s">
        <v>30</v>
      </c>
      <c r="B11" s="5">
        <v>1200</v>
      </c>
    </row>
    <row r="12" spans="1:2" ht="9.75">
      <c r="A12" s="4" t="s">
        <v>0</v>
      </c>
      <c r="B12" s="6">
        <v>90</v>
      </c>
    </row>
    <row r="13" spans="1:2" ht="9.75">
      <c r="A13" s="4" t="s">
        <v>1</v>
      </c>
      <c r="B13" s="7">
        <v>200000</v>
      </c>
    </row>
    <row r="14" spans="1:2" ht="9.75">
      <c r="A14" s="4" t="s">
        <v>2</v>
      </c>
      <c r="B14" s="7">
        <v>200000</v>
      </c>
    </row>
    <row r="15" spans="1:2" ht="9.75">
      <c r="A15" s="4" t="s">
        <v>3</v>
      </c>
      <c r="B15" s="6">
        <v>0.29</v>
      </c>
    </row>
    <row r="16" spans="1:2" ht="9.75">
      <c r="A16" s="4" t="s">
        <v>4</v>
      </c>
      <c r="B16" s="6">
        <v>0.29</v>
      </c>
    </row>
    <row r="17" spans="1:4" ht="9.75">
      <c r="A17" s="4" t="s">
        <v>5</v>
      </c>
      <c r="B17" s="8">
        <f>1/((1-vone^2)/Eone+(1-vtwo^2)/Etwo)</f>
        <v>109182.22513374823</v>
      </c>
      <c r="C17" s="4" t="s">
        <v>7</v>
      </c>
      <c r="D17" s="9">
        <f>re*SQRT((1/Ronemaj-1/Ronemin)^2+(1/Rtwomaj-1/Rtwomin)^2+2*(1/Ronemaj-1/Ronemin)*(1/Rtwomaj-1/Rtwomin)*COS(2*phi*PI()/180))</f>
        <v>0.44506344903681244</v>
      </c>
    </row>
    <row r="18" spans="1:4" ht="9.75">
      <c r="A18" s="4" t="s">
        <v>6</v>
      </c>
      <c r="B18" s="9">
        <f>1/(1/Ronemaj+1/Ronemin+1/Rtwomaj+1/Rtwomin)</f>
        <v>4.3351643361244205</v>
      </c>
      <c r="C18" s="4" t="s">
        <v>8</v>
      </c>
      <c r="D18" s="9">
        <f>ACOS(D17)</f>
        <v>1.1095512139356396</v>
      </c>
    </row>
    <row r="19" spans="1:4" ht="9.75">
      <c r="A19" s="4" t="s">
        <v>31</v>
      </c>
      <c r="B19" s="8">
        <f>alpha*(1.5*F*re/Ee)^0.333333</f>
        <v>0.40553486765037167</v>
      </c>
      <c r="C19" s="4" t="s">
        <v>9</v>
      </c>
      <c r="D19" s="9">
        <f>1.939*2.71831^(-5.26*theta_1)+1.78*2.71831^(-1.09*theta_1)+0.723/theta_1+0.221</f>
        <v>1.4093732836235988</v>
      </c>
    </row>
    <row r="20" spans="1:4" ht="9.75">
      <c r="A20" s="4" t="s">
        <v>32</v>
      </c>
      <c r="B20" s="8">
        <f>beta*(1.5*F*re/Ee)^0.333333</f>
        <v>0.2154439805261576</v>
      </c>
      <c r="C20" s="4" t="s">
        <v>10</v>
      </c>
      <c r="D20" s="9">
        <f>35.228*2.71831^(-0.98*theta_1)-32.424*2.71831^(-1.0475*theta_1)+1.486*theta_1-2.634</f>
        <v>0.7487420059102559</v>
      </c>
    </row>
    <row r="21" spans="1:4" ht="9.75">
      <c r="A21" s="4" t="s">
        <v>17</v>
      </c>
      <c r="B21" s="8">
        <f>3*F/(2*PI()*cc*dd)</f>
        <v>2185.942896594631</v>
      </c>
      <c r="C21" s="4" t="s">
        <v>11</v>
      </c>
      <c r="D21" s="9">
        <f>-0.214*2.71831^(-4.95*theta_1)-0.179*theta_1^2+0.555*theta_1+0.319</f>
        <v>0.7135520282494772</v>
      </c>
    </row>
    <row r="22" spans="1:2" ht="9.75">
      <c r="A22" s="4" t="s">
        <v>42</v>
      </c>
      <c r="B22" s="27">
        <f>2*MAX(E41:E91)</f>
        <v>1.2194181260274053</v>
      </c>
    </row>
    <row r="23" spans="1:2" ht="9.75">
      <c r="A23" s="10" t="s">
        <v>37</v>
      </c>
      <c r="B23" s="11">
        <f>(q/2)*((1-2*vone)/2+(2*(1+vone))^1.5/9)</f>
        <v>732.7880057854746</v>
      </c>
    </row>
    <row r="24" spans="1:2" ht="9.75">
      <c r="A24" s="4" t="s">
        <v>12</v>
      </c>
      <c r="B24" s="8"/>
    </row>
    <row r="25" spans="1:5" ht="9.75">
      <c r="A25" s="4" t="s">
        <v>13</v>
      </c>
      <c r="B25" s="12">
        <f>1000000*lambda*(2*F^2/(3*re*Ee^2))^0.33333</f>
        <v>9085.545786583629</v>
      </c>
      <c r="D25" s="1" t="s">
        <v>38</v>
      </c>
      <c r="E25" s="1">
        <v>2000</v>
      </c>
    </row>
    <row r="26" spans="1:5" ht="9.75">
      <c r="A26" s="4" t="s">
        <v>14</v>
      </c>
      <c r="B26" s="12">
        <f>B10/B25</f>
        <v>0.04402597371647929</v>
      </c>
      <c r="D26" s="1" t="s">
        <v>39</v>
      </c>
      <c r="E26" s="1">
        <f>E25/F</f>
        <v>5</v>
      </c>
    </row>
    <row r="27" spans="1:5" ht="9.75">
      <c r="A27" s="2" t="s">
        <v>18</v>
      </c>
      <c r="B27" s="13">
        <f>cc</f>
        <v>0.40553486765037167</v>
      </c>
      <c r="D27" s="1" t="s">
        <v>40</v>
      </c>
      <c r="E27" s="1">
        <v>1.5</v>
      </c>
    </row>
    <row r="28" spans="1:5" ht="9.75">
      <c r="A28" s="2" t="s">
        <v>20</v>
      </c>
      <c r="B28" s="14">
        <f>SQRT(2*(1+vone)/(7-2*vone))</f>
        <v>0.6339315096116493</v>
      </c>
      <c r="D28" s="1" t="s">
        <v>41</v>
      </c>
      <c r="E28" s="1">
        <f>SQRT(4*E26*(E27*Pmax)^2)</f>
        <v>207.95432190748045</v>
      </c>
    </row>
    <row r="29" spans="1:2" ht="9.75">
      <c r="A29" s="2" t="s">
        <v>21</v>
      </c>
      <c r="B29" s="14">
        <f>(q/2)*((1-2*vone)/2+2*(1+vone)*SQRT(2*(1+vone))/9)/sigult</f>
        <v>0.6106566714878953</v>
      </c>
    </row>
    <row r="31" ht="9.75">
      <c r="A31" s="1"/>
    </row>
    <row r="32" ht="9.75">
      <c r="A32" s="1"/>
    </row>
    <row r="33" ht="9.75">
      <c r="A33" s="1"/>
    </row>
    <row r="34" ht="9.75">
      <c r="A34" s="1"/>
    </row>
    <row r="35" ht="9.75">
      <c r="A35" s="1"/>
    </row>
    <row r="36" spans="1:3" ht="9.75">
      <c r="A36" s="1"/>
      <c r="C36" s="15"/>
    </row>
    <row r="39" spans="1:2" ht="9.75">
      <c r="A39" s="16" t="s">
        <v>15</v>
      </c>
      <c r="B39" s="1">
        <f>0.1*cc</f>
        <v>0.04055348676503717</v>
      </c>
    </row>
    <row r="40" spans="1:5" ht="9.75">
      <c r="A40" s="17" t="s">
        <v>16</v>
      </c>
      <c r="B40" s="18" t="s">
        <v>19</v>
      </c>
      <c r="C40" s="18" t="s">
        <v>34</v>
      </c>
      <c r="D40" s="18" t="s">
        <v>35</v>
      </c>
      <c r="E40" s="18" t="s">
        <v>36</v>
      </c>
    </row>
    <row r="41" spans="1:5" ht="9.75">
      <c r="A41" s="1">
        <v>0</v>
      </c>
      <c r="B41" s="19">
        <f aca="true" t="shared" si="0" ref="B41:B72">A41/a</f>
        <v>0</v>
      </c>
      <c r="C41" s="19">
        <f aca="true" t="shared" si="1" ref="C41:C72">q*(-1+(A41^3)/(a^2+A41^2)^1.5)/sigult</f>
        <v>-1.8216190804955257</v>
      </c>
      <c r="D41" s="19">
        <f aca="true" t="shared" si="2" ref="D41:D72">(q/2)*(-(1+2*vone)+2*(1+vone)*A41/SQRT(a^2+A41^2)-(A41^3)/(a^2+A41^2)^1.5)/sigult</f>
        <v>-1.4390790735914654</v>
      </c>
      <c r="E41" s="19">
        <f>(D41-C41)/2</f>
        <v>0.19127000345203016</v>
      </c>
    </row>
    <row r="42" spans="1:5" ht="9.75">
      <c r="A42" s="1">
        <f aca="true" t="shared" si="3" ref="A42:A73">A41+zinc</f>
        <v>0.04055348676503717</v>
      </c>
      <c r="B42" s="19">
        <f t="shared" si="0"/>
        <v>0.10000000000000002</v>
      </c>
      <c r="C42" s="19">
        <f t="shared" si="1"/>
        <v>-1.819824448088111</v>
      </c>
      <c r="D42" s="19">
        <f t="shared" si="2"/>
        <v>-1.2061537334330699</v>
      </c>
      <c r="E42" s="19">
        <f aca="true" t="shared" si="4" ref="E42:E85">(D42-C42)/2</f>
        <v>0.30683535732752054</v>
      </c>
    </row>
    <row r="43" spans="1:5" ht="9.75">
      <c r="A43" s="1">
        <f t="shared" si="3"/>
        <v>0.08110697353007434</v>
      </c>
      <c r="B43" s="19">
        <f t="shared" si="0"/>
        <v>0.20000000000000004</v>
      </c>
      <c r="C43" s="19">
        <f t="shared" si="1"/>
        <v>-1.8078787384278046</v>
      </c>
      <c r="D43" s="19">
        <f t="shared" si="2"/>
        <v>-0.9850981716739521</v>
      </c>
      <c r="E43" s="19">
        <f t="shared" si="4"/>
        <v>0.41139028337692624</v>
      </c>
    </row>
    <row r="44" spans="1:5" ht="9.75">
      <c r="A44" s="1">
        <f t="shared" si="3"/>
        <v>0.12166046029511152</v>
      </c>
      <c r="B44" s="19">
        <f t="shared" si="0"/>
        <v>0.30000000000000004</v>
      </c>
      <c r="C44" s="19">
        <f t="shared" si="1"/>
        <v>-1.7783993968277338</v>
      </c>
      <c r="D44" s="19">
        <f t="shared" si="2"/>
        <v>-0.7854533909222284</v>
      </c>
      <c r="E44" s="19">
        <f t="shared" si="4"/>
        <v>0.4964730029527527</v>
      </c>
    </row>
    <row r="45" spans="1:5" ht="9.75">
      <c r="A45" s="1">
        <f t="shared" si="3"/>
        <v>0.1622139470601487</v>
      </c>
      <c r="B45" s="19">
        <f t="shared" si="0"/>
        <v>0.4000000000000001</v>
      </c>
      <c r="C45" s="19">
        <f t="shared" si="1"/>
        <v>-1.7283042746521085</v>
      </c>
      <c r="D45" s="19">
        <f t="shared" si="2"/>
        <v>-0.6130097548626154</v>
      </c>
      <c r="E45" s="19">
        <f t="shared" si="4"/>
        <v>0.5576472598947465</v>
      </c>
    </row>
    <row r="46" spans="1:5" ht="9.75">
      <c r="A46" s="1">
        <f t="shared" si="3"/>
        <v>0.20276743382518586</v>
      </c>
      <c r="B46" s="19">
        <f t="shared" si="0"/>
        <v>0.5000000000000001</v>
      </c>
      <c r="C46" s="19">
        <f t="shared" si="1"/>
        <v>-1.6586885167715792</v>
      </c>
      <c r="D46" s="19">
        <f t="shared" si="2"/>
        <v>-0.4696422194339852</v>
      </c>
      <c r="E46" s="19">
        <f t="shared" si="4"/>
        <v>0.594523148668797</v>
      </c>
    </row>
    <row r="47" spans="1:5" ht="9.75">
      <c r="A47" s="1">
        <f t="shared" si="3"/>
        <v>0.24332092059022303</v>
      </c>
      <c r="B47" s="19">
        <f t="shared" si="0"/>
        <v>0.6000000000000001</v>
      </c>
      <c r="C47" s="19">
        <f t="shared" si="1"/>
        <v>-1.5735326815459176</v>
      </c>
      <c r="D47" s="19">
        <f t="shared" si="2"/>
        <v>-0.35411455551851234</v>
      </c>
      <c r="E47" s="19">
        <f t="shared" si="4"/>
        <v>0.6097090630137026</v>
      </c>
    </row>
    <row r="48" spans="1:5" ht="9.75">
      <c r="A48" s="1">
        <f t="shared" si="3"/>
        <v>0.2838744073552602</v>
      </c>
      <c r="B48" s="19">
        <f t="shared" si="0"/>
        <v>0.7000000000000001</v>
      </c>
      <c r="C48" s="19">
        <f t="shared" si="1"/>
        <v>-1.4780830571837216</v>
      </c>
      <c r="D48" s="19">
        <f t="shared" si="2"/>
        <v>-0.2632744517624315</v>
      </c>
      <c r="E48" s="19">
        <f t="shared" si="4"/>
        <v>0.607404302710645</v>
      </c>
    </row>
    <row r="49" spans="1:5" ht="9.75">
      <c r="A49" s="1">
        <f t="shared" si="3"/>
        <v>0.3244278941202974</v>
      </c>
      <c r="B49" s="19">
        <f t="shared" si="0"/>
        <v>0.8000000000000002</v>
      </c>
      <c r="C49" s="19">
        <f t="shared" si="1"/>
        <v>-1.3775385270843261</v>
      </c>
      <c r="D49" s="19">
        <f t="shared" si="2"/>
        <v>-0.1931555709271684</v>
      </c>
      <c r="E49" s="19">
        <f t="shared" si="4"/>
        <v>0.5921914780785789</v>
      </c>
    </row>
    <row r="50" spans="1:5" ht="9.75">
      <c r="A50" s="1">
        <f t="shared" si="3"/>
        <v>0.36498138088533455</v>
      </c>
      <c r="B50" s="19">
        <f t="shared" si="0"/>
        <v>0.9000000000000001</v>
      </c>
      <c r="C50" s="19">
        <f t="shared" si="1"/>
        <v>-1.2762792326310843</v>
      </c>
      <c r="D50" s="19">
        <f t="shared" si="2"/>
        <v>-0.13975639162407624</v>
      </c>
      <c r="E50" s="19">
        <f t="shared" si="4"/>
        <v>0.568261420503504</v>
      </c>
    </row>
    <row r="51" spans="1:5" ht="9.75">
      <c r="A51" s="1">
        <f t="shared" si="3"/>
        <v>0.4055348676503717</v>
      </c>
      <c r="B51" s="19">
        <f t="shared" si="0"/>
        <v>1.0000000000000002</v>
      </c>
      <c r="C51" s="19">
        <f t="shared" si="1"/>
        <v>-1.1775794782169304</v>
      </c>
      <c r="D51" s="19">
        <f t="shared" si="2"/>
        <v>-0.09947670085198825</v>
      </c>
      <c r="E51" s="19">
        <f t="shared" si="4"/>
        <v>0.539051388682471</v>
      </c>
    </row>
    <row r="52" spans="1:5" ht="9.75">
      <c r="A52" s="1">
        <f t="shared" si="3"/>
        <v>0.4460883544154089</v>
      </c>
      <c r="B52" s="19">
        <f t="shared" si="0"/>
        <v>1.1</v>
      </c>
      <c r="C52" s="19">
        <f t="shared" si="1"/>
        <v>-1.083634629406482</v>
      </c>
      <c r="D52" s="19">
        <f t="shared" si="2"/>
        <v>-0.06929454573949605</v>
      </c>
      <c r="E52" s="19">
        <f t="shared" si="4"/>
        <v>0.507170041833493</v>
      </c>
    </row>
    <row r="53" spans="1:5" ht="9.75">
      <c r="A53" s="1">
        <f t="shared" si="3"/>
        <v>0.48664184118044607</v>
      </c>
      <c r="B53" s="19">
        <f t="shared" si="0"/>
        <v>1.2000000000000002</v>
      </c>
      <c r="C53" s="19">
        <f t="shared" si="1"/>
        <v>-0.9957398104223839</v>
      </c>
      <c r="D53" s="19">
        <f t="shared" si="2"/>
        <v>-0.046784270793160394</v>
      </c>
      <c r="E53" s="19">
        <f t="shared" si="4"/>
        <v>0.47447776981461176</v>
      </c>
    </row>
    <row r="54" spans="1:5" ht="9.75">
      <c r="A54" s="1">
        <f t="shared" si="3"/>
        <v>0.5271953279454833</v>
      </c>
      <c r="B54" s="19">
        <f t="shared" si="0"/>
        <v>1.3000000000000003</v>
      </c>
      <c r="C54" s="19">
        <f t="shared" si="1"/>
        <v>-0.91451064929207</v>
      </c>
      <c r="D54" s="19">
        <f t="shared" si="2"/>
        <v>-0.030055202140464605</v>
      </c>
      <c r="E54" s="19">
        <f t="shared" si="4"/>
        <v>0.4422277235758027</v>
      </c>
    </row>
    <row r="55" spans="1:5" ht="9.75">
      <c r="A55" s="1">
        <f t="shared" si="3"/>
        <v>0.5677488147105205</v>
      </c>
      <c r="B55" s="19">
        <f t="shared" si="0"/>
        <v>1.4000000000000004</v>
      </c>
      <c r="C55" s="19">
        <f t="shared" si="1"/>
        <v>-0.8400878850656038</v>
      </c>
      <c r="D55" s="19">
        <f t="shared" si="2"/>
        <v>-0.017661652617848345</v>
      </c>
      <c r="E55" s="19">
        <f t="shared" si="4"/>
        <v>0.41121311622387774</v>
      </c>
    </row>
    <row r="56" spans="1:5" ht="9.75">
      <c r="A56" s="1">
        <f t="shared" si="3"/>
        <v>0.6083023014755577</v>
      </c>
      <c r="B56" s="19">
        <f t="shared" si="0"/>
        <v>1.5000000000000007</v>
      </c>
      <c r="C56" s="19">
        <f t="shared" si="1"/>
        <v>-0.7723030628894019</v>
      </c>
      <c r="D56" s="19">
        <f t="shared" si="2"/>
        <v>-0.008511569588449761</v>
      </c>
      <c r="E56" s="19">
        <f t="shared" si="4"/>
        <v>0.38189574665047604</v>
      </c>
    </row>
    <row r="57" spans="1:5" ht="9.75">
      <c r="A57" s="1">
        <f t="shared" si="3"/>
        <v>0.648855788240595</v>
      </c>
      <c r="B57" s="19">
        <f t="shared" si="0"/>
        <v>1.6000000000000008</v>
      </c>
      <c r="C57" s="19">
        <f t="shared" si="1"/>
        <v>-0.710802080367156</v>
      </c>
      <c r="D57" s="19">
        <f t="shared" si="2"/>
        <v>-0.0017860145191174663</v>
      </c>
      <c r="E57" s="19">
        <f t="shared" si="4"/>
        <v>0.3545080329240193</v>
      </c>
    </row>
    <row r="58" spans="1:5" ht="9.75">
      <c r="A58" s="1">
        <f t="shared" si="3"/>
        <v>0.6894092750056322</v>
      </c>
      <c r="B58" s="19">
        <f t="shared" si="0"/>
        <v>1.7000000000000008</v>
      </c>
      <c r="C58" s="19">
        <f t="shared" si="1"/>
        <v>-0.6551320115960344</v>
      </c>
      <c r="D58" s="19">
        <f t="shared" si="2"/>
        <v>0.0031267900364829342</v>
      </c>
      <c r="E58" s="19">
        <f t="shared" si="4"/>
        <v>0.3291294008162587</v>
      </c>
    </row>
    <row r="59" spans="1:5" ht="9.75">
      <c r="A59" s="1">
        <f t="shared" si="3"/>
        <v>0.7299627617706694</v>
      </c>
      <c r="B59" s="19">
        <f t="shared" si="0"/>
        <v>1.8000000000000012</v>
      </c>
      <c r="C59" s="19">
        <f t="shared" si="1"/>
        <v>-0.6047991988304672</v>
      </c>
      <c r="D59" s="19">
        <f t="shared" si="2"/>
        <v>0.006683215438721491</v>
      </c>
      <c r="E59" s="19">
        <f t="shared" si="4"/>
        <v>0.30574120713459435</v>
      </c>
    </row>
    <row r="60" spans="1:5" ht="9.75">
      <c r="A60" s="1">
        <f t="shared" si="3"/>
        <v>0.7705162485357067</v>
      </c>
      <c r="B60" s="19">
        <f t="shared" si="0"/>
        <v>1.9000000000000012</v>
      </c>
      <c r="C60" s="19">
        <f t="shared" si="1"/>
        <v>-0.5593062939369964</v>
      </c>
      <c r="D60" s="19">
        <f t="shared" si="2"/>
        <v>0.009223788083540706</v>
      </c>
      <c r="E60" s="19">
        <f t="shared" si="4"/>
        <v>0.28426504101026856</v>
      </c>
    </row>
    <row r="61" spans="1:5" ht="9.75">
      <c r="A61" s="1">
        <f t="shared" si="3"/>
        <v>0.8110697353007439</v>
      </c>
      <c r="B61" s="19">
        <f t="shared" si="0"/>
        <v>2.0000000000000013</v>
      </c>
      <c r="C61" s="19">
        <f t="shared" si="1"/>
        <v>-0.518174570703955</v>
      </c>
      <c r="D61" s="19">
        <f t="shared" si="2"/>
        <v>0.011002943551656463</v>
      </c>
      <c r="E61" s="19">
        <f t="shared" si="4"/>
        <v>0.2645887571278057</v>
      </c>
    </row>
    <row r="62" spans="1:5" ht="9.75">
      <c r="A62" s="1">
        <f t="shared" si="3"/>
        <v>0.8516232220657811</v>
      </c>
      <c r="B62" s="19">
        <f t="shared" si="0"/>
        <v>2.1000000000000014</v>
      </c>
      <c r="C62" s="19">
        <f t="shared" si="1"/>
        <v>-0.4809562983900709</v>
      </c>
      <c r="D62" s="19">
        <f t="shared" si="2"/>
        <v>0.012211188425139649</v>
      </c>
      <c r="E62" s="19">
        <f t="shared" si="4"/>
        <v>0.24658374340760528</v>
      </c>
    </row>
    <row r="63" spans="1:5" ht="9.75">
      <c r="A63" s="1">
        <f t="shared" si="3"/>
        <v>0.8921767088308183</v>
      </c>
      <c r="B63" s="19">
        <f t="shared" si="0"/>
        <v>2.2000000000000015</v>
      </c>
      <c r="C63" s="19">
        <f t="shared" si="1"/>
        <v>-0.4472406255892575</v>
      </c>
      <c r="D63" s="19">
        <f t="shared" si="2"/>
        <v>0.012991518765702415</v>
      </c>
      <c r="E63" s="19">
        <f t="shared" si="4"/>
        <v>0.23011607217747995</v>
      </c>
    </row>
    <row r="64" spans="1:5" ht="9.75">
      <c r="A64" s="1">
        <f t="shared" si="3"/>
        <v>0.9327301955958556</v>
      </c>
      <c r="B64" s="19">
        <f t="shared" si="0"/>
        <v>2.3000000000000016</v>
      </c>
      <c r="C64" s="19">
        <f t="shared" si="1"/>
        <v>-0.41665537083409954</v>
      </c>
      <c r="D64" s="19">
        <f t="shared" si="2"/>
        <v>0.01345155486019951</v>
      </c>
      <c r="E64" s="19">
        <f t="shared" si="4"/>
        <v>0.21505346284714952</v>
      </c>
    </row>
    <row r="65" spans="1:5" ht="9.75">
      <c r="A65" s="1">
        <f t="shared" si="3"/>
        <v>0.9732836823608928</v>
      </c>
      <c r="B65" s="19">
        <f t="shared" si="0"/>
        <v>2.400000000000002</v>
      </c>
      <c r="C65" s="19">
        <f t="shared" si="1"/>
        <v>-0.38886633989640434</v>
      </c>
      <c r="D65" s="19">
        <f t="shared" si="2"/>
        <v>0.013672507345184617</v>
      </c>
      <c r="E65" s="19">
        <f t="shared" si="4"/>
        <v>0.20126942362079447</v>
      </c>
    </row>
    <row r="66" spans="1:5" ht="9.75">
      <c r="A66" s="1">
        <f t="shared" si="3"/>
        <v>1.01383716912593</v>
      </c>
      <c r="B66" s="19">
        <f t="shared" si="0"/>
        <v>2.500000000000002</v>
      </c>
      <c r="C66" s="19">
        <f t="shared" si="1"/>
        <v>-0.36357523919213336</v>
      </c>
      <c r="D66" s="19">
        <f t="shared" si="2"/>
        <v>0.013715809883233948</v>
      </c>
      <c r="E66" s="19">
        <f t="shared" si="4"/>
        <v>0.18864552453768366</v>
      </c>
    </row>
    <row r="67" spans="1:5" ht="9.75">
      <c r="A67" s="1">
        <f t="shared" si="3"/>
        <v>1.0543906558909673</v>
      </c>
      <c r="B67" s="19">
        <f t="shared" si="0"/>
        <v>2.6000000000000023</v>
      </c>
      <c r="C67" s="19">
        <f t="shared" si="1"/>
        <v>-0.3405168749409354</v>
      </c>
      <c r="D67" s="19">
        <f t="shared" si="2"/>
        <v>0.013628036424681437</v>
      </c>
      <c r="E67" s="19">
        <f t="shared" si="4"/>
        <v>0.1770724556828084</v>
      </c>
    </row>
    <row r="68" spans="1:5" ht="9.75">
      <c r="A68" s="1">
        <f t="shared" si="3"/>
        <v>1.0949441426560045</v>
      </c>
      <c r="B68" s="19">
        <f t="shared" si="0"/>
        <v>2.7000000000000024</v>
      </c>
      <c r="C68" s="19">
        <f t="shared" si="1"/>
        <v>-0.31945607121464853</v>
      </c>
      <c r="D68" s="19">
        <f t="shared" si="2"/>
        <v>0.01344455723457413</v>
      </c>
      <c r="E68" s="19">
        <f t="shared" si="4"/>
        <v>0.16645031422461132</v>
      </c>
    </row>
    <row r="69" spans="1:5" ht="9.75">
      <c r="A69" s="1">
        <f t="shared" si="3"/>
        <v>1.1354976294210417</v>
      </c>
      <c r="B69" s="19">
        <f t="shared" si="0"/>
        <v>2.8000000000000025</v>
      </c>
      <c r="C69" s="19">
        <f t="shared" si="1"/>
        <v>-0.3001845697604876</v>
      </c>
      <c r="D69" s="19">
        <f t="shared" si="2"/>
        <v>0.013192266272913408</v>
      </c>
      <c r="E69" s="19">
        <f t="shared" si="4"/>
        <v>0.1566884180167005</v>
      </c>
    </row>
    <row r="70" spans="1:5" ht="9.75">
      <c r="A70" s="1">
        <f t="shared" si="3"/>
        <v>1.176051116186079</v>
      </c>
      <c r="B70" s="19">
        <f t="shared" si="0"/>
        <v>2.9000000000000026</v>
      </c>
      <c r="C70" s="19">
        <f t="shared" si="1"/>
        <v>-0.2825180633494885</v>
      </c>
      <c r="D70" s="19">
        <f t="shared" si="2"/>
        <v>0.012891623190335556</v>
      </c>
      <c r="E70" s="19">
        <f t="shared" si="4"/>
        <v>0.147704843269912</v>
      </c>
    </row>
    <row r="71" spans="1:5" ht="9.75">
      <c r="A71" s="1">
        <f t="shared" si="3"/>
        <v>1.2166046029511162</v>
      </c>
      <c r="B71" s="19">
        <f t="shared" si="0"/>
        <v>3.0000000000000027</v>
      </c>
      <c r="C71" s="19">
        <f t="shared" si="1"/>
        <v>-0.2662934431269097</v>
      </c>
      <c r="D71" s="19">
        <f t="shared" si="2"/>
        <v>0.01255818795257618</v>
      </c>
      <c r="E71" s="19">
        <f t="shared" si="4"/>
        <v>0.13942581553974295</v>
      </c>
    </row>
    <row r="72" spans="1:5" ht="9.75">
      <c r="A72" s="1">
        <f t="shared" si="3"/>
        <v>1.2571580897161534</v>
      </c>
      <c r="B72" s="19">
        <f t="shared" si="0"/>
        <v>3.100000000000003</v>
      </c>
      <c r="C72" s="19">
        <f t="shared" si="1"/>
        <v>-0.25136629569397806</v>
      </c>
      <c r="D72" s="19">
        <f t="shared" si="2"/>
        <v>0.012203778575949675</v>
      </c>
      <c r="E72" s="19">
        <f t="shared" si="4"/>
        <v>0.13178503713496387</v>
      </c>
    </row>
    <row r="73" spans="1:5" ht="9.75">
      <c r="A73" s="1">
        <f t="shared" si="3"/>
        <v>1.2977115764811906</v>
      </c>
      <c r="B73" s="19">
        <f aca="true" t="shared" si="5" ref="B73:B91">A73/a</f>
        <v>3.2000000000000033</v>
      </c>
      <c r="C73" s="19">
        <f aca="true" t="shared" si="6" ref="C73:C91">q*(-1+(A73^3)/(a^2+A73^2)^1.5)/sigult</f>
        <v>-0.2376086583441822</v>
      </c>
      <c r="D73" s="19">
        <f aca="true" t="shared" si="7" ref="D73:D91">(q/2)*(-(1+2*vone)+2*(1+vone)*A73/SQRT(a^2+A73^2)-(A73^3)/(a^2+A73^2)^1.5)/sigult</f>
        <v>0.011837347854896152</v>
      </c>
      <c r="E73" s="19">
        <f t="shared" si="4"/>
        <v>0.12472300309953918</v>
      </c>
    </row>
    <row r="74" spans="1:5" ht="9.75">
      <c r="A74" s="1">
        <f aca="true" t="shared" si="8" ref="A74:A91">A73+zinc</f>
        <v>1.3382650632462278</v>
      </c>
      <c r="B74" s="19">
        <f t="shared" si="5"/>
        <v>3.3000000000000034</v>
      </c>
      <c r="C74" s="19">
        <f t="shared" si="6"/>
        <v>-0.22490702489779954</v>
      </c>
      <c r="D74" s="19">
        <f t="shared" si="7"/>
        <v>0.011465649754159816</v>
      </c>
      <c r="E74" s="19">
        <f t="shared" si="4"/>
        <v>0.11818633732597968</v>
      </c>
    </row>
    <row r="75" spans="1:5" ht="9.75">
      <c r="A75" s="1">
        <f t="shared" si="8"/>
        <v>1.378818550011265</v>
      </c>
      <c r="B75" s="19">
        <f t="shared" si="5"/>
        <v>3.4000000000000035</v>
      </c>
      <c r="C75" s="19">
        <f t="shared" si="6"/>
        <v>-0.21316058585135073</v>
      </c>
      <c r="D75" s="19">
        <f t="shared" si="7"/>
        <v>0.011093747738936312</v>
      </c>
      <c r="E75" s="19">
        <f t="shared" si="4"/>
        <v>0.11212716679514352</v>
      </c>
    </row>
    <row r="76" spans="1:5" ht="9.75">
      <c r="A76" s="1">
        <f t="shared" si="8"/>
        <v>1.4193720367763023</v>
      </c>
      <c r="B76" s="19">
        <f t="shared" si="5"/>
        <v>3.5000000000000036</v>
      </c>
      <c r="C76" s="19">
        <f t="shared" si="6"/>
        <v>-0.20227968239327365</v>
      </c>
      <c r="D76" s="19">
        <f t="shared" si="7"/>
        <v>0.010725403852325474</v>
      </c>
      <c r="E76" s="19">
        <f t="shared" si="4"/>
        <v>0.10650254312279957</v>
      </c>
    </row>
    <row r="77" spans="1:5" ht="9.75">
      <c r="A77" s="1">
        <f t="shared" si="8"/>
        <v>1.4599255235413395</v>
      </c>
      <c r="B77" s="19">
        <f t="shared" si="5"/>
        <v>3.6000000000000036</v>
      </c>
      <c r="C77" s="19">
        <f t="shared" si="6"/>
        <v>-0.1921844524718446</v>
      </c>
      <c r="D77" s="19">
        <f t="shared" si="7"/>
        <v>0.010363377466266442</v>
      </c>
      <c r="E77" s="19">
        <f t="shared" si="4"/>
        <v>0.10127391496905552</v>
      </c>
    </row>
    <row r="78" spans="1:5" ht="9.75">
      <c r="A78" s="1">
        <f t="shared" si="8"/>
        <v>1.5004790103063768</v>
      </c>
      <c r="B78" s="19">
        <f t="shared" si="5"/>
        <v>3.7000000000000037</v>
      </c>
      <c r="C78" s="19">
        <f t="shared" si="6"/>
        <v>-0.18280364739399382</v>
      </c>
      <c r="D78" s="19">
        <f t="shared" si="7"/>
        <v>0.010009655352095819</v>
      </c>
      <c r="E78" s="19">
        <f t="shared" si="4"/>
        <v>0.09640665137304483</v>
      </c>
    </row>
    <row r="79" spans="1:5" ht="9.75">
      <c r="A79" s="1">
        <f t="shared" si="8"/>
        <v>1.541032497071414</v>
      </c>
      <c r="B79" s="19">
        <f t="shared" si="5"/>
        <v>3.8000000000000043</v>
      </c>
      <c r="C79" s="19">
        <f t="shared" si="6"/>
        <v>-0.1740735986525576</v>
      </c>
      <c r="D79" s="19">
        <f t="shared" si="7"/>
        <v>0.009665629334383953</v>
      </c>
      <c r="E79" s="19">
        <f t="shared" si="4"/>
        <v>0.09186961399347077</v>
      </c>
    </row>
    <row r="80" spans="1:5" ht="9.75">
      <c r="A80" s="1">
        <f t="shared" si="8"/>
        <v>1.5815859838364512</v>
      </c>
      <c r="B80" s="19">
        <f t="shared" si="5"/>
        <v>3.9000000000000044</v>
      </c>
      <c r="C80" s="19">
        <f t="shared" si="6"/>
        <v>-0.16593731636288397</v>
      </c>
      <c r="D80" s="19">
        <f t="shared" si="7"/>
        <v>0.009332233796602706</v>
      </c>
      <c r="E80" s="19">
        <f t="shared" si="4"/>
        <v>0.08763477507974334</v>
      </c>
    </row>
    <row r="81" spans="1:5" ht="9.75">
      <c r="A81" s="1">
        <f t="shared" si="8"/>
        <v>1.6221394706014884</v>
      </c>
      <c r="B81" s="19">
        <f t="shared" si="5"/>
        <v>4.000000000000004</v>
      </c>
      <c r="C81" s="19">
        <f t="shared" si="6"/>
        <v>-0.15834370255258834</v>
      </c>
      <c r="D81" s="19">
        <f t="shared" si="7"/>
        <v>0.009010052330103298</v>
      </c>
      <c r="E81" s="19">
        <f t="shared" si="4"/>
        <v>0.08367687744134582</v>
      </c>
    </row>
    <row r="82" spans="1:5" ht="9.75">
      <c r="A82" s="1">
        <f t="shared" si="8"/>
        <v>1.6626929573665257</v>
      </c>
      <c r="B82" s="19">
        <f t="shared" si="5"/>
        <v>4.100000000000005</v>
      </c>
      <c r="C82" s="19">
        <f t="shared" si="6"/>
        <v>-0.15124686442001406</v>
      </c>
      <c r="D82" s="19">
        <f t="shared" si="7"/>
        <v>0.008699400590484543</v>
      </c>
      <c r="E82" s="19">
        <f t="shared" si="4"/>
        <v>0.0799731325052493</v>
      </c>
    </row>
    <row r="83" spans="1:5" ht="9.75">
      <c r="A83" s="1">
        <f t="shared" si="8"/>
        <v>1.703246444131563</v>
      </c>
      <c r="B83" s="19">
        <f t="shared" si="5"/>
        <v>4.200000000000005</v>
      </c>
      <c r="C83" s="19">
        <f t="shared" si="6"/>
        <v>-0.1446055144605217</v>
      </c>
      <c r="D83" s="19">
        <f t="shared" si="7"/>
        <v>0.008400390752216363</v>
      </c>
      <c r="E83" s="19">
        <f t="shared" si="4"/>
        <v>0.07650295260636902</v>
      </c>
    </row>
    <row r="84" spans="1:5" ht="9.75">
      <c r="A84" s="1">
        <f t="shared" si="8"/>
        <v>1.7437999308966001</v>
      </c>
      <c r="B84" s="19">
        <f t="shared" si="5"/>
        <v>4.300000000000005</v>
      </c>
      <c r="C84" s="19">
        <f t="shared" si="6"/>
        <v>-0.13838244600469185</v>
      </c>
      <c r="D84" s="19">
        <f t="shared" si="7"/>
        <v>0.00811298169053639</v>
      </c>
      <c r="E84" s="19">
        <f t="shared" si="4"/>
        <v>0.07324771384761412</v>
      </c>
    </row>
    <row r="85" spans="1:5" ht="9.75">
      <c r="A85" s="1">
        <f t="shared" si="8"/>
        <v>1.7843534176616374</v>
      </c>
      <c r="B85" s="19">
        <f t="shared" si="5"/>
        <v>4.400000000000005</v>
      </c>
      <c r="C85" s="19">
        <f t="shared" si="6"/>
        <v>-0.1325440741971706</v>
      </c>
      <c r="D85" s="19">
        <f t="shared" si="7"/>
        <v>0.007837018064238798</v>
      </c>
      <c r="E85" s="19">
        <f t="shared" si="4"/>
        <v>0.0701905461307047</v>
      </c>
    </row>
    <row r="86" spans="1:5" ht="9.75">
      <c r="A86" s="1">
        <f t="shared" si="8"/>
        <v>1.8249069044266746</v>
      </c>
      <c r="B86" s="19">
        <f t="shared" si="5"/>
        <v>4.500000000000005</v>
      </c>
      <c r="C86" s="19">
        <f t="shared" si="6"/>
        <v>-0.12706003376519917</v>
      </c>
      <c r="D86" s="19">
        <f t="shared" si="7"/>
        <v>0.007572260746831714</v>
      </c>
      <c r="E86" s="19">
        <f aca="true" t="shared" si="9" ref="E86:E91">(D86-C86)/2</f>
        <v>0.06731614725601544</v>
      </c>
    </row>
    <row r="87" spans="1:5" ht="9.75">
      <c r="A87" s="1">
        <f t="shared" si="8"/>
        <v>1.8654603911917118</v>
      </c>
      <c r="B87" s="19">
        <f t="shared" si="5"/>
        <v>4.600000000000005</v>
      </c>
      <c r="C87" s="19">
        <f t="shared" si="6"/>
        <v>-0.12190282608775244</v>
      </c>
      <c r="D87" s="19">
        <f t="shared" si="7"/>
        <v>0.007318410499656488</v>
      </c>
      <c r="E87" s="19">
        <f t="shared" si="9"/>
        <v>0.06461061829370446</v>
      </c>
    </row>
    <row r="88" spans="1:5" ht="9.75">
      <c r="A88" s="1">
        <f t="shared" si="8"/>
        <v>1.906013877956749</v>
      </c>
      <c r="B88" s="19">
        <f t="shared" si="5"/>
        <v>4.7000000000000055</v>
      </c>
      <c r="C88" s="19">
        <f t="shared" si="6"/>
        <v>-0.11704750909105027</v>
      </c>
      <c r="D88" s="19">
        <f t="shared" si="7"/>
        <v>0.007075126356402709</v>
      </c>
      <c r="E88" s="19">
        <f t="shared" si="9"/>
        <v>0.06206131772372649</v>
      </c>
    </row>
    <row r="89" spans="1:5" ht="9.75">
      <c r="A89" s="1">
        <f t="shared" si="8"/>
        <v>1.9465673647217863</v>
      </c>
      <c r="B89" s="19">
        <f t="shared" si="5"/>
        <v>4.800000000000005</v>
      </c>
      <c r="C89" s="19">
        <f t="shared" si="6"/>
        <v>-0.11247142437786936</v>
      </c>
      <c r="D89" s="19">
        <f t="shared" si="7"/>
        <v>0.006842039862652979</v>
      </c>
      <c r="E89" s="19">
        <f t="shared" si="9"/>
        <v>0.05965673212026117</v>
      </c>
    </row>
    <row r="90" spans="1:5" ht="9.75">
      <c r="A90" s="1">
        <f t="shared" si="8"/>
        <v>1.9871208514868235</v>
      </c>
      <c r="B90" s="19">
        <f t="shared" si="5"/>
        <v>4.900000000000006</v>
      </c>
      <c r="C90" s="19">
        <f t="shared" si="6"/>
        <v>-0.10815395676107582</v>
      </c>
      <c r="D90" s="19">
        <f t="shared" si="7"/>
        <v>0.006618766062850211</v>
      </c>
      <c r="E90" s="19">
        <f t="shared" si="9"/>
        <v>0.057386361411963016</v>
      </c>
    </row>
    <row r="91" spans="1:5" ht="9.75">
      <c r="A91" s="1">
        <f t="shared" si="8"/>
        <v>2.0276743382518605</v>
      </c>
      <c r="B91" s="19">
        <f t="shared" si="5"/>
        <v>5.000000000000005</v>
      </c>
      <c r="C91" s="19">
        <f t="shared" si="6"/>
        <v>-0.1040763220303563</v>
      </c>
      <c r="D91" s="19">
        <f t="shared" si="7"/>
        <v>0.006404911932820436</v>
      </c>
      <c r="E91" s="19">
        <f t="shared" si="9"/>
        <v>0.055240616981588365</v>
      </c>
    </row>
    <row r="92" ht="9.75">
      <c r="A92" s="1"/>
    </row>
    <row r="93" ht="9.75">
      <c r="A93" s="1"/>
    </row>
    <row r="94" ht="9.75">
      <c r="A94" s="1"/>
    </row>
    <row r="95" ht="9.75">
      <c r="A95" s="1"/>
    </row>
    <row r="96" ht="9.75">
      <c r="A96" s="1"/>
    </row>
    <row r="97" ht="9.75">
      <c r="A97" s="1"/>
    </row>
    <row r="98" ht="9.75">
      <c r="A98" s="1"/>
    </row>
  </sheetData>
  <sheetProtection password="E53C"/>
  <mergeCells count="5">
    <mergeCell ref="A5:B5"/>
    <mergeCell ref="A4:B4"/>
    <mergeCell ref="A1:B1"/>
    <mergeCell ref="A2:B2"/>
    <mergeCell ref="A3:B3"/>
  </mergeCells>
  <printOptions gridLines="1" headings="1"/>
  <pageMargins left="0.75" right="0.75" top="1" bottom="1" header="0.5" footer="0.5"/>
  <pageSetup orientation="portrait"/>
  <headerFooter alignWithMargins="0">
    <oddHeader>&amp;C&amp;f</oddHeader>
    <oddFooter>&amp;CPage &amp;p</oddFooter>
  </headerFooter>
  <drawing r:id="rId5"/>
  <legacyDrawing r:id="rId4"/>
  <oleObjects>
    <oleObject progId="Equation.DSMT4" shapeId="14541922" r:id="rId1"/>
    <oleObject progId="Equation.DSMT4" shapeId="762990" r:id="rId2"/>
    <oleObject progId="Equation.DSMT4" shapeId="602026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Alexander Slocum</cp:lastModifiedBy>
  <cp:lastPrinted>1998-02-09T16:08:50Z</cp:lastPrinted>
  <dcterms:created xsi:type="dcterms:W3CDTF">2004-01-23T17:18:10Z</dcterms:created>
  <dcterms:modified xsi:type="dcterms:W3CDTF">2012-11-06T14:53:20Z</dcterms:modified>
  <cp:category/>
  <cp:version/>
  <cp:contentType/>
  <cp:contentStatus/>
</cp:coreProperties>
</file>