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4310" activeTab="0"/>
  </bookViews>
  <sheets>
    <sheet name="Sheet1" sheetId="1" r:id="rId1"/>
    <sheet name="Sheet2" sheetId="2" r:id="rId2"/>
    <sheet name="Sheet3" sheetId="3" r:id="rId3"/>
  </sheets>
  <definedNames>
    <definedName name="Ad">'Sheet1'!$B$9</definedName>
    <definedName name="cv">'Sheet1'!$B$25</definedName>
    <definedName name="d">'Sheet1'!$B$5</definedName>
    <definedName name="Dc">'Sheet1'!#REF!</definedName>
    <definedName name="dr">'Sheet1'!$B$6</definedName>
    <definedName name="Ec">'Sheet1'!#REF!</definedName>
    <definedName name="espring">'Sheet1'!#REF!</definedName>
    <definedName name="F">'Sheet1'!$B$21</definedName>
    <definedName name="Fspring">'Sheet1'!#REF!</definedName>
    <definedName name="gamma">'Sheet1'!$B$26</definedName>
    <definedName name="L">'Sheet1'!$B$7</definedName>
    <definedName name="Lc">'Sheet1'!#REF!</definedName>
    <definedName name="Lspring">'Sheet1'!#REF!</definedName>
    <definedName name="P">'Sheet1'!$C$11</definedName>
    <definedName name="P_1">'Sheet1'!$B$15</definedName>
    <definedName name="P_1a">'Sheet1'!$B$27</definedName>
    <definedName name="P_1ac">'Sheet1'!$B$40</definedName>
    <definedName name="Pa">'Sheet1'!#REF!</definedName>
    <definedName name="Pc">'Sheet1'!#REF!</definedName>
    <definedName name="Pr">'Sheet1'!$C$12</definedName>
    <definedName name="Ps">'Sheet1'!#REF!</definedName>
    <definedName name="Rgas">'Sheet1'!$B$24</definedName>
    <definedName name="T_1a">'Sheet1'!$B$23</definedName>
    <definedName name="T_1ac">'Sheet1'!$B$36</definedName>
    <definedName name="V">'Sheet1'!$B$8</definedName>
    <definedName name="Vc">'Sheet1'!#REF!</definedName>
    <definedName name="x">'Sheet1'!$B$16</definedName>
    <definedName name="xa">'Sheet1'!$B$28</definedName>
  </definedNames>
  <calcPr fullCalcOnLoad="1"/>
</workbook>
</file>

<file path=xl/sharedStrings.xml><?xml version="1.0" encoding="utf-8"?>
<sst xmlns="http://schemas.openxmlformats.org/spreadsheetml/2006/main" count="43" uniqueCount="31">
  <si>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sz val="10"/>
        <color indexed="10"/>
        <rFont val="Times New Roman"/>
        <family val="1"/>
      </rPr>
      <t>RED</t>
    </r>
  </si>
  <si>
    <t>Total volume, V (mm^3)</t>
  </si>
  <si>
    <t>Pneumatic cylinder as an actuator</t>
  </si>
  <si>
    <t>Cylinder diameter, d (mm)</t>
  </si>
  <si>
    <t>Rod diamter, dr (mm)</t>
  </si>
  <si>
    <t>Piston-side presure, P (atm, N/m^2, psi)</t>
  </si>
  <si>
    <t>Rod-side pressure, Pr (atm, N/m^2, psi)</t>
  </si>
  <si>
    <t>Differential area, Ad (mm^2)</t>
  </si>
  <si>
    <t>Net pressure force on piston, Fp (N)</t>
  </si>
  <si>
    <t>Initial cylinder pressure, P_1 (atm, N/m^2, psi)</t>
  </si>
  <si>
    <t>Force (N)</t>
  </si>
  <si>
    <t>Pressure (atm)</t>
  </si>
  <si>
    <t>Energy absorbed (Joules=Nm)</t>
  </si>
  <si>
    <t>By Alex Slocum &amp; Roger Cortesi, last modified 1/20/2004 by Alex Slocum</t>
  </si>
  <si>
    <t>To determine forces and energy in a pneumatic cylinder (piston)</t>
  </si>
  <si>
    <t>Piston stroke (maximum), L (mm)</t>
  </si>
  <si>
    <t>Displacement (amount piston compresses gas), x (mm)</t>
  </si>
  <si>
    <t>Displacement (amount piston compresses gas), xa (mm)</t>
  </si>
  <si>
    <t>cv (J/(kg-K))</t>
  </si>
  <si>
    <r>
      <t>g</t>
    </r>
    <r>
      <rPr>
        <sz val="10"/>
        <rFont val="Times New Roman"/>
        <family val="1"/>
      </rPr>
      <t>, gamma</t>
    </r>
  </si>
  <si>
    <t>R, Rgas (J/(kg-K))</t>
  </si>
  <si>
    <t>Initial cylinder pressure, P_1a (atm, N/m^2, psi)</t>
  </si>
  <si>
    <t>Pneumatic cylinder as a compression spring: ISOTHERMAL (constant temperature)</t>
  </si>
  <si>
    <t>Pneumatic cylinder as a compression spring: ADIABATIC (NO HEAT TRANSFER)</t>
  </si>
  <si>
    <t>Gas (air) properties</t>
  </si>
  <si>
    <r>
      <t>Temperature of the gas at start, T_1a (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C)</t>
    </r>
  </si>
  <si>
    <r>
      <t>Temperature of the compressed gas (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C)</t>
    </r>
  </si>
  <si>
    <t>Pneumatic_cylinder.xls</t>
  </si>
  <si>
    <t>Pneumatic cylinder as a tension spring: ADIABATIC (NO HEAT TRANSFER)</t>
  </si>
  <si>
    <r>
      <t>Temperature of the gas at start, T_1ac (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C)</t>
    </r>
  </si>
  <si>
    <t>Initial cylinder pressure, P_1ac (atm, N/m^2, psi)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</si>
</sst>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"/>
    <numFmt numFmtId="174" formatCode="0.0000000"/>
    <numFmt numFmtId="175" formatCode="_(* #,##0.0_);_(* \(#,##0.0\);_(* &quot;-&quot;??_);_(@_)"/>
    <numFmt numFmtId="176" formatCode="_(* #,##0_);_(* \(#,##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5" fillId="0" borderId="3" xfId="0" applyFont="1" applyBorder="1" applyAlignment="1">
      <alignment/>
    </xf>
    <xf numFmtId="164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 inden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left" indent="2"/>
    </xf>
    <xf numFmtId="0" fontId="5" fillId="0" borderId="3" xfId="0" applyFont="1" applyBorder="1" applyAlignment="1">
      <alignment horizontal="right"/>
    </xf>
    <xf numFmtId="176" fontId="1" fillId="0" borderId="0" xfId="15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8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49.140625" style="1" customWidth="1"/>
    <col min="2" max="2" width="7.7109375" style="8" customWidth="1"/>
    <col min="3" max="3" width="9.140625" style="1" customWidth="1"/>
    <col min="4" max="4" width="6.28125" style="1" customWidth="1"/>
    <col min="5" max="16384" width="9.140625" style="1" customWidth="1"/>
  </cols>
  <sheetData>
    <row r="1" spans="1:4" ht="12.75">
      <c r="A1" s="27" t="s">
        <v>27</v>
      </c>
      <c r="B1" s="28"/>
      <c r="C1" s="28"/>
      <c r="D1" s="29"/>
    </row>
    <row r="2" spans="1:4" ht="12.75">
      <c r="A2" s="30" t="s">
        <v>14</v>
      </c>
      <c r="B2" s="31"/>
      <c r="C2" s="31"/>
      <c r="D2" s="32"/>
    </row>
    <row r="3" spans="1:4" ht="12.75">
      <c r="A3" s="30" t="s">
        <v>13</v>
      </c>
      <c r="B3" s="31"/>
      <c r="C3" s="31"/>
      <c r="D3" s="32"/>
    </row>
    <row r="4" spans="1:4" ht="13.5" thickBot="1">
      <c r="A4" s="33" t="s">
        <v>0</v>
      </c>
      <c r="B4" s="33"/>
      <c r="C4" s="33"/>
      <c r="D4" s="33"/>
    </row>
    <row r="5" spans="1:4" ht="12.75">
      <c r="A5" s="17" t="s">
        <v>3</v>
      </c>
      <c r="B5" s="7">
        <v>20</v>
      </c>
      <c r="C5" s="7"/>
      <c r="D5" s="7"/>
    </row>
    <row r="6" spans="1:4" ht="12.75">
      <c r="A6" s="1" t="s">
        <v>4</v>
      </c>
      <c r="B6" s="2">
        <v>5</v>
      </c>
      <c r="C6" s="3"/>
      <c r="D6" s="3"/>
    </row>
    <row r="7" spans="1:4" ht="12.75">
      <c r="A7" s="14" t="s">
        <v>15</v>
      </c>
      <c r="B7" s="2">
        <v>50</v>
      </c>
      <c r="C7" s="2"/>
      <c r="D7" s="2"/>
    </row>
    <row r="8" spans="1:4" ht="12.75">
      <c r="A8" s="14" t="s">
        <v>1</v>
      </c>
      <c r="B8" s="5">
        <f>L*PI()*d^2/4</f>
        <v>15707.963267948966</v>
      </c>
      <c r="C8" s="2"/>
      <c r="D8" s="2"/>
    </row>
    <row r="9" spans="1:4" ht="12.75">
      <c r="A9" s="15" t="s">
        <v>7</v>
      </c>
      <c r="B9" s="16">
        <f>PI()*(d^2-dr^2)/4</f>
        <v>294.5243112740431</v>
      </c>
      <c r="C9" s="3"/>
      <c r="D9" s="3"/>
    </row>
    <row r="10" spans="1:4" ht="12.75">
      <c r="A10" s="26" t="s">
        <v>2</v>
      </c>
      <c r="B10" s="26"/>
      <c r="C10" s="26"/>
      <c r="D10" s="26"/>
    </row>
    <row r="11" spans="1:4" ht="12.75">
      <c r="A11" s="6" t="s">
        <v>5</v>
      </c>
      <c r="B11" s="2">
        <v>6</v>
      </c>
      <c r="C11" s="4">
        <f>B11*100000</f>
        <v>600000</v>
      </c>
      <c r="D11" s="4">
        <f>B11*14.7</f>
        <v>88.19999999999999</v>
      </c>
    </row>
    <row r="12" spans="1:4" ht="12.75">
      <c r="A12" s="9" t="s">
        <v>6</v>
      </c>
      <c r="B12" s="8">
        <v>1</v>
      </c>
      <c r="C12" s="10">
        <f>B12*100000</f>
        <v>100000</v>
      </c>
      <c r="D12" s="10">
        <f>B12*14.7</f>
        <v>14.7</v>
      </c>
    </row>
    <row r="13" spans="1:4" ht="12.75">
      <c r="A13" s="6" t="s">
        <v>8</v>
      </c>
      <c r="B13" s="5">
        <f>(Ad*(P-Pr)-PI()*dr^2/2*100000)/1000000</f>
        <v>143.3351648200343</v>
      </c>
      <c r="C13" s="3"/>
      <c r="D13" s="3"/>
    </row>
    <row r="14" spans="1:4" ht="12.75">
      <c r="A14" s="26" t="s">
        <v>22</v>
      </c>
      <c r="B14" s="26"/>
      <c r="C14" s="26"/>
      <c r="D14" s="26"/>
    </row>
    <row r="15" spans="1:10" ht="12.75">
      <c r="A15" s="9" t="s">
        <v>9</v>
      </c>
      <c r="B15" s="8">
        <v>1</v>
      </c>
      <c r="C15" s="13">
        <f>B15*100000</f>
        <v>100000</v>
      </c>
      <c r="D15" s="13">
        <f>B15*14.7</f>
        <v>14.7</v>
      </c>
      <c r="J15"/>
    </row>
    <row r="16" spans="1:6" ht="12.75">
      <c r="A16" s="6" t="s">
        <v>16</v>
      </c>
      <c r="B16" s="2">
        <v>20</v>
      </c>
      <c r="C16" s="4">
        <f>0.75*x</f>
        <v>15</v>
      </c>
      <c r="D16" s="4">
        <f>0.5*x</f>
        <v>10</v>
      </c>
      <c r="E16" s="4">
        <f>0.25*x</f>
        <v>5</v>
      </c>
      <c r="F16" s="4">
        <v>0</v>
      </c>
    </row>
    <row r="17" spans="1:7" ht="12.75">
      <c r="A17" s="6" t="s">
        <v>11</v>
      </c>
      <c r="B17" s="11">
        <f>P_1*L/(L-B16)</f>
        <v>1.6666666666666667</v>
      </c>
      <c r="C17" s="11">
        <f>P_1*L/(L-C16)</f>
        <v>1.4285714285714286</v>
      </c>
      <c r="D17" s="11">
        <f>P_1*L/(L-D16)</f>
        <v>1.25</v>
      </c>
      <c r="E17" s="11">
        <f>P_1*L/(L-E16)</f>
        <v>1.1111111111111112</v>
      </c>
      <c r="F17" s="11">
        <f>P_1*L/(L-F16)</f>
        <v>1</v>
      </c>
      <c r="G17"/>
    </row>
    <row r="18" spans="1:6" ht="12.75">
      <c r="A18" s="6" t="s">
        <v>10</v>
      </c>
      <c r="B18" s="5">
        <f>(PI()*d^2/4)*(0.1*(B17-1))</f>
        <v>20.94395102393196</v>
      </c>
      <c r="C18" s="5">
        <f>(PI()*d^2/4)*(0.1*(C17-1))</f>
        <v>13.463968515384831</v>
      </c>
      <c r="D18" s="5">
        <f>(PI()*d^2/4)*(0.1*(D17-1))</f>
        <v>7.853981633974484</v>
      </c>
      <c r="E18" s="5">
        <f>(PI()*d^2/4)*(0.1*(E17-1))</f>
        <v>3.490658503988661</v>
      </c>
      <c r="F18" s="5">
        <f>(PI()*d^2/4)*(0.1*(F17-1))</f>
        <v>0</v>
      </c>
    </row>
    <row r="19" spans="1:6" ht="12.75">
      <c r="A19" s="6" t="s">
        <v>12</v>
      </c>
      <c r="B19" s="12">
        <f>(0.1*P_1)*(PI()*d^2/4)*(L*LN(L/(L-B16))-B16)/1000</f>
        <v>0.17408448272637142</v>
      </c>
      <c r="C19" s="12">
        <f>(PI()*(0.1*P_1)*d^2/4)*(L*LN(L/(L-C16))-C16)/1000</f>
        <v>0.08902479376026756</v>
      </c>
      <c r="D19" s="12">
        <f>(PI()*(0.1*P_1)*d^2/4)*(L*LN(L/(L-D16))-D16)/1000</f>
        <v>0.036353805393349925</v>
      </c>
      <c r="E19" s="12">
        <f>(PI()*(0.1*P_1)*d^2/4)*(L*LN(L/(L-E16))-E16)/1000</f>
        <v>0.008420278305040167</v>
      </c>
      <c r="F19" s="12">
        <f>(PI()*(0.1*P_1)*d^2/4)*(L*LN(L/(L-F16))-F16)/1000</f>
        <v>0</v>
      </c>
    </row>
    <row r="20" spans="1:6" ht="12.75">
      <c r="A20" s="6"/>
      <c r="B20" s="12"/>
      <c r="C20" s="12"/>
      <c r="D20" s="12"/>
      <c r="E20" s="35"/>
      <c r="F20" s="35"/>
    </row>
    <row r="21" spans="1:4" ht="12.75">
      <c r="A21" s="26" t="s">
        <v>23</v>
      </c>
      <c r="B21" s="26"/>
      <c r="C21" s="26"/>
      <c r="D21" s="26"/>
    </row>
    <row r="22" spans="1:4" ht="12.75">
      <c r="A22" s="6" t="s">
        <v>24</v>
      </c>
      <c r="B22" s="18"/>
      <c r="C22" s="19"/>
      <c r="D22" s="19"/>
    </row>
    <row r="23" spans="1:4" ht="15.75">
      <c r="A23" s="6" t="s">
        <v>25</v>
      </c>
      <c r="B23" s="21">
        <v>20</v>
      </c>
      <c r="C23" s="19"/>
      <c r="D23" s="19"/>
    </row>
    <row r="24" spans="1:4" ht="12.75">
      <c r="A24" s="22" t="s">
        <v>20</v>
      </c>
      <c r="B24" s="21">
        <v>2078</v>
      </c>
      <c r="C24" s="19"/>
      <c r="D24" s="19"/>
    </row>
    <row r="25" spans="1:4" ht="12.75">
      <c r="A25" s="22" t="s">
        <v>18</v>
      </c>
      <c r="B25" s="21">
        <v>3153</v>
      </c>
      <c r="C25" s="19"/>
      <c r="D25" s="19"/>
    </row>
    <row r="26" spans="1:4" ht="12.75">
      <c r="A26" s="23" t="s">
        <v>19</v>
      </c>
      <c r="B26" s="24">
        <f>(Rgas+cv)/cv</f>
        <v>1.6590548683793214</v>
      </c>
      <c r="C26" s="19"/>
      <c r="D26" s="19"/>
    </row>
    <row r="27" spans="1:4" ht="12.75">
      <c r="A27" s="6" t="s">
        <v>21</v>
      </c>
      <c r="B27" s="2">
        <v>1</v>
      </c>
      <c r="C27" s="4">
        <f>B27*100000</f>
        <v>100000</v>
      </c>
      <c r="D27" s="4">
        <f>B27*14.7</f>
        <v>14.7</v>
      </c>
    </row>
    <row r="28" spans="1:6" ht="12.75">
      <c r="A28" s="6" t="s">
        <v>17</v>
      </c>
      <c r="B28" s="2">
        <v>20</v>
      </c>
      <c r="C28" s="4">
        <f>0.75*xa</f>
        <v>15</v>
      </c>
      <c r="D28" s="4">
        <f>0.5*xa</f>
        <v>10</v>
      </c>
      <c r="E28" s="4">
        <f>0.25*xa</f>
        <v>5</v>
      </c>
      <c r="F28" s="4">
        <v>0</v>
      </c>
    </row>
    <row r="29" spans="1:6" ht="12.75">
      <c r="A29" s="6" t="s">
        <v>11</v>
      </c>
      <c r="B29" s="11">
        <f>P_1a*(L/(L-B28))^gamma</f>
        <v>2.3337764231659786</v>
      </c>
      <c r="C29" s="11">
        <f>P_1a*(L/(L-C28))^gamma</f>
        <v>1.8071360551643847</v>
      </c>
      <c r="D29" s="11">
        <f>P_1a*(L/(L-D28))^gamma</f>
        <v>1.4480348989462286</v>
      </c>
      <c r="E29" s="11">
        <f>P_1a*(L/(L-E28))^gamma</f>
        <v>1.1910066530206982</v>
      </c>
      <c r="F29" s="11">
        <f>P_1a*(L/(L-F28))^gamma</f>
        <v>1</v>
      </c>
    </row>
    <row r="30" spans="1:6" ht="12.75">
      <c r="A30" s="6" t="s">
        <v>10</v>
      </c>
      <c r="B30" s="5">
        <f>(PI()*d^2/4)*(0.1*(B29-1))</f>
        <v>41.901822125495094</v>
      </c>
      <c r="C30" s="5">
        <f>(PI()*d^2/4)*(0.1*(C29-1))</f>
        <v>25.35692701351877</v>
      </c>
      <c r="D30" s="5">
        <f>(PI()*d^2/4)*(0.1*(D29-1))</f>
        <v>14.075431470813173</v>
      </c>
      <c r="E30" s="5">
        <f>(PI()*d^2/4)*(0.1*(E29-1))</f>
        <v>6.000650979166002</v>
      </c>
      <c r="F30" s="5">
        <f>(PI()*d^2/4)*(0.1*(F29-1))</f>
        <v>0</v>
      </c>
    </row>
    <row r="31" spans="1:6" ht="12.75">
      <c r="A31" s="6" t="s">
        <v>12</v>
      </c>
      <c r="B31" s="12">
        <f>(0.1*P_1a)*(PI()*d^2/4)*(-B28+(L/(L-B28))^gamma*(L/(gamma-1)+B28/(1-gamma))-L/(gamma-1))/1000</f>
        <v>0.32567811389073126</v>
      </c>
      <c r="C31" s="12">
        <f>(0.1*P_1a)*(PI()*d^2/4)*(-C28+(L/(L-C28))^gamma*(L/(gamma-1)+C28/(1-gamma))-L/(gamma-1))/1000</f>
        <v>0.16035274539828354</v>
      </c>
      <c r="D31" s="12">
        <f>(0.1*P_1a)*(PI()*d^2/4)*(-D28+(L/(L-D28))^gamma*(L/(gamma-1)+D28/(1-gamma))-L/(gamma-1))/1000</f>
        <v>0.06343902791440628</v>
      </c>
      <c r="E31" s="12">
        <f>(0.1*P_1a)*(PI()*d^2/4)*(-E28+(L/(L-E28))^gamma*(L/(gamma-1)+E28/(1-gamma))-L/(gamma-1))/1000</f>
        <v>0.014301638899209781</v>
      </c>
      <c r="F31" s="12">
        <f>(0.1*P_1a)*(PI()*d^2/4)*(-F28+(L/(L-F28))^gamma*(L/(gamma-1)+F28/(1-gamma))-L/(gamma-1))/1000</f>
        <v>0</v>
      </c>
    </row>
    <row r="32" spans="1:6" ht="15.75">
      <c r="A32" s="20" t="s">
        <v>26</v>
      </c>
      <c r="B32" s="11">
        <f>B29*(L-B28)*T_1a/(P_1a*L)</f>
        <v>28.00531707799174</v>
      </c>
      <c r="C32" s="11">
        <f>C29*(L-C28)*T_1a/(P_1a*L)</f>
        <v>25.29990477230139</v>
      </c>
      <c r="D32" s="11">
        <f>D29*(L-D28)*T_1a/(P_1a*L)</f>
        <v>23.168558383139658</v>
      </c>
      <c r="E32" s="11">
        <f>E29*(L-E28)*T_1a/(P_1a*L)</f>
        <v>21.43811975437257</v>
      </c>
      <c r="F32" s="11">
        <f>F29*(L-F28)*T_1a/(P_1a*L)</f>
        <v>20</v>
      </c>
    </row>
    <row r="34" spans="1:4" ht="12.75">
      <c r="A34" s="26" t="s">
        <v>28</v>
      </c>
      <c r="B34" s="26"/>
      <c r="C34" s="26"/>
      <c r="D34" s="26"/>
    </row>
    <row r="35" spans="1:4" ht="12.75">
      <c r="A35" s="6" t="s">
        <v>24</v>
      </c>
      <c r="B35" s="18"/>
      <c r="C35" s="19"/>
      <c r="D35" s="19"/>
    </row>
    <row r="36" spans="1:4" ht="15.75">
      <c r="A36" s="6" t="s">
        <v>29</v>
      </c>
      <c r="B36" s="21">
        <v>20</v>
      </c>
      <c r="C36" s="19"/>
      <c r="D36" s="19"/>
    </row>
    <row r="37" spans="1:4" ht="12.75">
      <c r="A37" s="22" t="s">
        <v>20</v>
      </c>
      <c r="B37" s="34">
        <f>Rgas</f>
        <v>2078</v>
      </c>
      <c r="C37" s="19"/>
      <c r="D37" s="19"/>
    </row>
    <row r="38" spans="1:4" ht="12.75">
      <c r="A38" s="22" t="s">
        <v>18</v>
      </c>
      <c r="B38" s="34">
        <f>cv</f>
        <v>3153</v>
      </c>
      <c r="C38" s="19"/>
      <c r="D38" s="19"/>
    </row>
    <row r="39" spans="1:4" ht="12.75">
      <c r="A39" s="23" t="s">
        <v>19</v>
      </c>
      <c r="B39" s="24">
        <f>(Rgas+cv)/cv</f>
        <v>1.6590548683793214</v>
      </c>
      <c r="C39" s="19"/>
      <c r="D39" s="19"/>
    </row>
    <row r="40" spans="1:4" ht="12.75">
      <c r="A40" s="6" t="s">
        <v>30</v>
      </c>
      <c r="B40" s="2">
        <v>1</v>
      </c>
      <c r="C40" s="4">
        <f>B40*100000</f>
        <v>100000</v>
      </c>
      <c r="D40" s="4">
        <f>B40*14.7</f>
        <v>14.7</v>
      </c>
    </row>
    <row r="41" spans="1:8" ht="12.75">
      <c r="A41" s="6" t="s">
        <v>17</v>
      </c>
      <c r="B41" s="2">
        <v>20</v>
      </c>
      <c r="C41" s="4">
        <f>0.75*xa</f>
        <v>15</v>
      </c>
      <c r="D41" s="4">
        <f>0.5*xa</f>
        <v>10</v>
      </c>
      <c r="E41" s="4">
        <f>0.25*xa</f>
        <v>5</v>
      </c>
      <c r="F41" s="4">
        <v>0</v>
      </c>
      <c r="H41"/>
    </row>
    <row r="42" spans="1:6" ht="12.75">
      <c r="A42" s="6" t="s">
        <v>11</v>
      </c>
      <c r="B42" s="11">
        <f>P_1ac*(L/(L+B41))^gamma</f>
        <v>0.5722233440190233</v>
      </c>
      <c r="C42" s="11">
        <f>P_1ac*(L/(L+C41))^gamma</f>
        <v>0.6470855870856708</v>
      </c>
      <c r="D42" s="11">
        <f>P_1ac*(L/(L+D41))^gamma</f>
        <v>0.738982184125209</v>
      </c>
      <c r="E42" s="11">
        <f>P_1ac*(L/(L+E41))^gamma</f>
        <v>0.8537432129592165</v>
      </c>
      <c r="F42" s="11">
        <f>P_1ac*(L/(L+F41))^gamma</f>
        <v>1</v>
      </c>
    </row>
    <row r="43" spans="1:6" ht="12.75">
      <c r="A43" s="6" t="s">
        <v>10</v>
      </c>
      <c r="B43" s="5">
        <f>(PI()*d^2/4)*(0.1*(1-B42))</f>
        <v>13.438999998070448</v>
      </c>
      <c r="C43" s="5">
        <f>(PI()*d^2/4)*(0.1*(1-C42))</f>
        <v>11.087133269576118</v>
      </c>
      <c r="D43" s="5">
        <f>(PI()*d^2/4)*(0.1*(1-D42))</f>
        <v>8.200116528082967</v>
      </c>
      <c r="E43" s="5">
        <f>(PI()*d^2/4)*(0.1*(1-E42))</f>
        <v>4.594792477049723</v>
      </c>
      <c r="F43" s="5">
        <f>(PI()*d^2/4)*(0.1*(1-F42))</f>
        <v>0</v>
      </c>
    </row>
    <row r="44" spans="1:6" ht="12.75">
      <c r="A44" s="6" t="s">
        <v>12</v>
      </c>
      <c r="B44" s="12">
        <f>(0.1*P_1ac)*(PI()*d^2/4)*(B41-(L/(L+B41))^gamma*(-L/(gamma-1)+B41/(1-gamma))-L/(gamma-1))/1000</f>
        <v>0.15428900125674405</v>
      </c>
      <c r="C44" s="12">
        <f>(0.1*P_1ac)*(PI()*d^2/4)*(C41-(L/(L+C41))^gamma*(-L/(gamma-1)+C41/(1-gamma))-L/(gamma-1))/1000</f>
        <v>0.09278062930989132</v>
      </c>
      <c r="D44" s="12">
        <f>(0.1*P_1ac)*(PI()*d^2/4)*(D41-(L/(L+D41))^gamma*(-L/(gamma-1)+D41/(1-gamma))-L/(gamma-1))/1000</f>
        <v>0.044306579552495534</v>
      </c>
      <c r="E44" s="12">
        <f>(0.1*P_1ac)*(PI()*d^2/4)*(E41-(L/(L+E41))^gamma*(-L/(gamma-1)+E41/(1-gamma))-L/(gamma-1))/1000</f>
        <v>0.011971906226579692</v>
      </c>
      <c r="F44" s="12">
        <f>(0.1*P_1ac)*(PI()*d^2/4)*(F41-(L/(L+F41))^gamma*(-L/(gamma-1)+F41/(1-gamma))-L/(gamma-1))/1000</f>
        <v>0</v>
      </c>
    </row>
    <row r="45" spans="1:6" ht="15.75">
      <c r="A45" s="20" t="s">
        <v>26</v>
      </c>
      <c r="B45" s="11">
        <f>B42*(L-B41)*T_1ac/(P_1ac*L)</f>
        <v>6.866680128228279</v>
      </c>
      <c r="C45" s="11">
        <f>C42*(L-C41)*T_1ac/(P_1ac*L)</f>
        <v>9.059198219199391</v>
      </c>
      <c r="D45" s="11">
        <f>D42*(L-D41)*T_1ac/(P_1ac*L)</f>
        <v>11.823714946003342</v>
      </c>
      <c r="E45" s="11">
        <f>E42*(L-E41)*T_1ac/(P_1ac*L)</f>
        <v>15.367377833265897</v>
      </c>
      <c r="F45" s="11">
        <f>F42*(L-F41)*T_1ac/(P_1ac*L)</f>
        <v>20</v>
      </c>
    </row>
    <row r="49" ht="12.75">
      <c r="J49"/>
    </row>
    <row r="54" ht="12.75">
      <c r="C54" s="25"/>
    </row>
  </sheetData>
  <mergeCells count="8">
    <mergeCell ref="A1:D1"/>
    <mergeCell ref="A2:D2"/>
    <mergeCell ref="A3:D3"/>
    <mergeCell ref="A4:D4"/>
    <mergeCell ref="A34:D34"/>
    <mergeCell ref="A21:D21"/>
    <mergeCell ref="A14:D14"/>
    <mergeCell ref="A10:D10"/>
  </mergeCells>
  <printOptions/>
  <pageMargins left="0.75" right="0.75" top="1" bottom="1" header="0.5" footer="0.5"/>
  <pageSetup horizontalDpi="600" verticalDpi="600" orientation="portrait" r:id="rId6"/>
  <legacyDrawing r:id="rId5"/>
  <oleObjects>
    <oleObject progId="Equation.DSMT4" shapeId="13967593" r:id="rId1"/>
    <oleObject progId="Equation.DSMT4" shapeId="14001322" r:id="rId2"/>
    <oleObject progId="Equation.DSMT4" shapeId="14077856" r:id="rId3"/>
    <oleObject progId="Equation.DSMT4" shapeId="1420217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cp:lastPrinted>2004-01-20T00:43:23Z</cp:lastPrinted>
  <dcterms:created xsi:type="dcterms:W3CDTF">2003-08-29T19:11:12Z</dcterms:created>
  <dcterms:modified xsi:type="dcterms:W3CDTF">2004-02-16T16:11:55Z</dcterms:modified>
  <cp:category/>
  <cp:version/>
  <cp:contentType/>
  <cp:contentStatus/>
</cp:coreProperties>
</file>