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" yWindow="80" windowWidth="24060" windowHeight="11300" activeTab="2"/>
  </bookViews>
  <sheets>
    <sheet name="Sheet1" sheetId="1" r:id="rId1"/>
    <sheet name="edits" sheetId="2" r:id="rId2"/>
    <sheet name="rollerscrew" sheetId="3" r:id="rId3"/>
    <sheet name="Sheet3" sheetId="4" r:id="rId4"/>
  </sheets>
  <definedNames>
    <definedName name="alpha">'Sheet1'!$C$11</definedName>
    <definedName name="beta">'Sheet1'!$B$14</definedName>
    <definedName name="dhousing">'Sheet1'!$B$52</definedName>
    <definedName name="dscrew">'Sheet1'!$B$9</definedName>
    <definedName name="dthrust">'Sheet1'!$B$10</definedName>
    <definedName name="et">'Sheet1'!$B$20</definedName>
    <definedName name="etagearbox">'Sheet1'!$B$32</definedName>
    <definedName name="etastage">'Sheet1'!$B$31</definedName>
    <definedName name="etathrust">'Sheet1'!$B$17</definedName>
    <definedName name="gam">'Sheet1'!$B$43</definedName>
    <definedName name="gammotor">'Sheet1'!$B$40</definedName>
    <definedName name="gamscrew">'Sheet1'!$B$15</definedName>
    <definedName name="gamthrust">'Sheet1'!$B$16</definedName>
    <definedName name="gamtotal">'Sheet1'!$B$18</definedName>
    <definedName name="gdmd">'Sheet1'!$B$49</definedName>
    <definedName name="glml">'Sheet1'!$B$50</definedName>
    <definedName name="hdrd">'Sheet1'!$B$48</definedName>
    <definedName name="hlhd">'Sheet1'!$B$46</definedName>
    <definedName name="hlrl">'Sheet1'!$B$47</definedName>
    <definedName name="lead">'Sheet1'!$B$7</definedName>
    <definedName name="lhousing">'Sheet1'!$B$53</definedName>
    <definedName name="mu">'Sheet1'!$B$8</definedName>
    <definedName name="n">'Sheet1'!$B$30</definedName>
    <definedName name="nratio">'Sheet1'!$B$29</definedName>
    <definedName name="nstage">'Sheet1'!$B$28</definedName>
    <definedName name="s">'Sheet1'!$B$34</definedName>
    <definedName name="scf">'Sheet1'!$B$12</definedName>
    <definedName name="sigma">'Sheet1'!$B$25</definedName>
    <definedName name="sigmax">'Sheet1'!$B$13</definedName>
    <definedName name="tau">'Sheet1'!$C$44</definedName>
    <definedName name="thrust">'Sheet1'!$B$6</definedName>
    <definedName name="tt">'Sheet1'!$B$35</definedName>
    <definedName name="w">'Sheet1'!$C$39</definedName>
    <definedName name="zetad">'Sheet1'!$B$37</definedName>
    <definedName name="zetau">'Sheet1'!$B$36</definedName>
  </definedNames>
  <calcPr fullCalcOnLoad="1"/>
</workbook>
</file>

<file path=xl/sharedStrings.xml><?xml version="1.0" encoding="utf-8"?>
<sst xmlns="http://schemas.openxmlformats.org/spreadsheetml/2006/main" count="91" uniqueCount="90">
  <si>
    <t>Size proportions</t>
  </si>
  <si>
    <t>Motor housing diameter/rotor diameter, hdrd</t>
  </si>
  <si>
    <t>Motor (housing) size estimate</t>
  </si>
  <si>
    <t>Diameter, Dhousing (mm)</t>
  </si>
  <si>
    <t>Length, Lhousing (mm)</t>
  </si>
  <si>
    <t>Motor housing length/rotor length, hlrl</t>
  </si>
  <si>
    <t>Motor housing length/housing diameter, hlhd</t>
  </si>
  <si>
    <t>Assumed electromagnetic shear stress, tau (atm, N/mm^2)</t>
  </si>
  <si>
    <t>Gearbox diameter/motor housing diameter, gdmd</t>
  </si>
  <si>
    <t>Gearbox length/motor housing length, glml</t>
  </si>
  <si>
    <t>Gearbox size estimates</t>
  </si>
  <si>
    <t>Diameter, Dgearbox (mm)</t>
  </si>
  <si>
    <t>Length (mm)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</si>
  <si>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</si>
  <si>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Motor_leadscrew_size_estimator.xls</t>
  </si>
  <si>
    <t>To estimate size of a motor for a leadscrew</t>
  </si>
  <si>
    <t>Force (no help from gravity), thrust (N)</t>
  </si>
  <si>
    <t>Lead, (mm)</t>
  </si>
  <si>
    <t>Coefficient of friction, mu</t>
  </si>
  <si>
    <t>Screw pitch diameter, dscrew (mm)</t>
  </si>
  <si>
    <t>Thrust bearing diameter, dthrust (mm)</t>
  </si>
  <si>
    <t>Thread angle (deg), alpha (rad)</t>
  </si>
  <si>
    <t>Thread root stress concentration, scf</t>
  </si>
  <si>
    <t>Beta</t>
  </si>
  <si>
    <t>Torque required at screw, gamscrew (N-mm)</t>
  </si>
  <si>
    <t>Torque required at thrust bearing, gamthrust(N-mm)</t>
  </si>
  <si>
    <t>Thrust bearing efficiency, etathrust</t>
  </si>
  <si>
    <t>Total torque, gamtotal (N-mm)</t>
  </si>
  <si>
    <t>Backdriveable?</t>
  </si>
  <si>
    <t>Thread efficiency to generate force, et</t>
  </si>
  <si>
    <t>Total system efficiency, eta</t>
  </si>
  <si>
    <t>Estimated torsional stress, tau (N/mm^2)</t>
  </si>
  <si>
    <t>Tensile stress, sig (N/mm^2)</t>
  </si>
  <si>
    <t>Mises equivelant stress, sigma (N/mm^2)</t>
  </si>
  <si>
    <t>Gearbox ratio, n</t>
  </si>
  <si>
    <t>Travel, s (mm)</t>
  </si>
  <si>
    <t>Time to travel, tt (s)</t>
  </si>
  <si>
    <t>Motor speed, w (rpm, rad/s)</t>
  </si>
  <si>
    <t>Gearbox efficiency, etagearbox</t>
  </si>
  <si>
    <t>Number of planet stages, nstage</t>
  </si>
  <si>
    <t>Ratio per stage, nratio</t>
  </si>
  <si>
    <t>Motion profile</t>
  </si>
  <si>
    <t>Gearbox</t>
  </si>
  <si>
    <t>Efficiency per stage, etastage</t>
  </si>
  <si>
    <t>Applied/max allowable stress (must be &lt;1)</t>
  </si>
  <si>
    <t>Stresses</t>
  </si>
  <si>
    <t>Leadscrew</t>
  </si>
  <si>
    <t>Required motor torque, gammotor (N-mm)</t>
  </si>
  <si>
    <t>Max motor speed, torque, power</t>
  </si>
  <si>
    <t>Desired stall torque, gam (N-mm)</t>
  </si>
  <si>
    <t>Motor size estimation</t>
  </si>
  <si>
    <t>Maximum allowable stress, sigmax (N/mm^2, psi)</t>
  </si>
  <si>
    <t>density (kg/m^3)</t>
  </si>
  <si>
    <t>mass (kg)</t>
  </si>
  <si>
    <t>battery to motor mass ratio</t>
  </si>
  <si>
    <t>number motor/battery sets</t>
  </si>
  <si>
    <t>mass of motors and batteries</t>
  </si>
  <si>
    <t>leadscrews mass (kg)</t>
  </si>
  <si>
    <t>total added mass (kg)</t>
  </si>
  <si>
    <t>inside tube thread?</t>
  </si>
  <si>
    <t>no</t>
  </si>
  <si>
    <t>percentage of travel time ramping down speed, zetad</t>
  </si>
  <si>
    <t>percentage of travel time ramping up speed, zetau</t>
  </si>
  <si>
    <t>By Alex Slocum, Last modified 2015.12.15 by Alex Slocum</t>
  </si>
  <si>
    <t>date</t>
  </si>
  <si>
    <t>by</t>
  </si>
  <si>
    <t>edit</t>
  </si>
  <si>
    <t>Slocum</t>
  </si>
  <si>
    <t>2015.12.15</t>
  </si>
  <si>
    <t>Power max, Preq (watts)</t>
  </si>
  <si>
    <t>pitch diameter (mm)</t>
  </si>
  <si>
    <t>force required (N)</t>
  </si>
  <si>
    <t>pitch circumference (mm)</t>
  </si>
  <si>
    <t>Motor rotor</t>
  </si>
  <si>
    <t>Diameter (mm)</t>
  </si>
  <si>
    <t>added ramp up and down time %s, motor rotor size</t>
  </si>
  <si>
    <t>number of rollers</t>
  </si>
  <si>
    <t>number of threads engaged per roller</t>
  </si>
  <si>
    <t>lead (mm)</t>
  </si>
  <si>
    <t>roller length (mm)</t>
  </si>
  <si>
    <t>total number of thread contacts</t>
  </si>
  <si>
    <t>load per thread contact (N)</t>
  </si>
  <si>
    <t>thread depth (mm)</t>
  </si>
  <si>
    <t>assumed elliptical contact path depth (mm)</t>
  </si>
  <si>
    <t>assumed elliptical contact path width (mm)</t>
  </si>
  <si>
    <t>contact area (mm)</t>
  </si>
  <si>
    <t>maximum allowable contact pressure (N/mm^2)</t>
  </si>
  <si>
    <t>maximum force per contact (N)</t>
  </si>
  <si>
    <t>safety factor (must be greater than 1)</t>
  </si>
  <si>
    <t>planetary roller diameter (mm)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</si>
</sst>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"/>
    <numFmt numFmtId="180" formatCode="#,##0.0"/>
    <numFmt numFmtId="181" formatCode="_(* #,##0.0_);_(* \(#,##0.0\);_(* &quot;-&quot;??_);_(@_)"/>
    <numFmt numFmtId="182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1" fontId="3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9" fontId="4" fillId="0" borderId="11" xfId="59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9" fontId="4" fillId="0" borderId="11" xfId="59" applyFont="1" applyBorder="1" applyAlignment="1">
      <alignment/>
    </xf>
    <xf numFmtId="4" fontId="4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left" indent="2"/>
    </xf>
    <xf numFmtId="1" fontId="4" fillId="33" borderId="11" xfId="0" applyNumberFormat="1" applyFont="1" applyFill="1" applyBorder="1" applyAlignment="1">
      <alignment horizontal="right"/>
    </xf>
    <xf numFmtId="182" fontId="4" fillId="0" borderId="11" xfId="42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7" fillId="33" borderId="11" xfId="0" applyFont="1" applyFill="1" applyBorder="1" applyAlignment="1">
      <alignment/>
    </xf>
    <xf numFmtId="172" fontId="8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18" xfId="0" applyFont="1" applyFill="1" applyBorder="1" applyAlignment="1">
      <alignment horizontal="left" indent="1"/>
    </xf>
    <xf numFmtId="0" fontId="3" fillId="0" borderId="19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3" fillId="0" borderId="22" xfId="0" applyFont="1" applyBorder="1" applyAlignment="1">
      <alignment horizontal="left" indent="1"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3" fillId="33" borderId="11" xfId="0" applyFont="1" applyFill="1" applyBorder="1" applyAlignment="1">
      <alignment horizontal="left" indent="1"/>
    </xf>
    <xf numFmtId="173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68</xdr:row>
      <xdr:rowOff>66675</xdr:rowOff>
    </xdr:from>
    <xdr:to>
      <xdr:col>14</xdr:col>
      <xdr:colOff>400050</xdr:colOff>
      <xdr:row>79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553700"/>
          <a:ext cx="7905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zoomScale="150" zoomScaleNormal="150" workbookViewId="0" topLeftCell="A42">
      <selection activeCell="B10" sqref="B10"/>
    </sheetView>
  </sheetViews>
  <sheetFormatPr defaultColWidth="9.140625" defaultRowHeight="12.75"/>
  <cols>
    <col min="1" max="1" width="51.7109375" style="1" customWidth="1"/>
    <col min="2" max="2" width="9.140625" style="1" customWidth="1"/>
    <col min="3" max="3" width="8.28125" style="1" customWidth="1"/>
    <col min="4" max="16384" width="9.140625" style="1" customWidth="1"/>
  </cols>
  <sheetData>
    <row r="1" spans="1:3" ht="12">
      <c r="A1" s="49" t="s">
        <v>14</v>
      </c>
      <c r="B1" s="49"/>
      <c r="C1" s="49"/>
    </row>
    <row r="2" spans="1:3" ht="12">
      <c r="A2" s="51" t="s">
        <v>15</v>
      </c>
      <c r="B2" s="51"/>
      <c r="C2" s="51"/>
    </row>
    <row r="3" spans="1:3" ht="12">
      <c r="A3" s="51" t="s">
        <v>63</v>
      </c>
      <c r="B3" s="51"/>
      <c r="C3" s="51"/>
    </row>
    <row r="4" spans="1:3" ht="12.75" thickBot="1">
      <c r="A4" s="50" t="s">
        <v>13</v>
      </c>
      <c r="B4" s="50"/>
      <c r="C4" s="50"/>
    </row>
    <row r="5" spans="1:3" ht="12.75" thickBot="1">
      <c r="A5" s="37" t="s">
        <v>46</v>
      </c>
      <c r="B5" s="38"/>
      <c r="C5" s="39"/>
    </row>
    <row r="6" spans="1:3" ht="12">
      <c r="A6" s="22" t="s">
        <v>16</v>
      </c>
      <c r="B6" s="10">
        <v>4000</v>
      </c>
      <c r="C6" s="2"/>
    </row>
    <row r="7" spans="1:3" ht="12">
      <c r="A7" s="6" t="s">
        <v>17</v>
      </c>
      <c r="B7" s="4">
        <v>1.5</v>
      </c>
      <c r="C7" s="3"/>
    </row>
    <row r="8" spans="1:3" ht="12">
      <c r="A8" s="6" t="s">
        <v>18</v>
      </c>
      <c r="B8" s="4">
        <v>0.005</v>
      </c>
      <c r="C8" s="3"/>
    </row>
    <row r="9" spans="1:3" ht="12">
      <c r="A9" s="6" t="s">
        <v>19</v>
      </c>
      <c r="B9" s="4">
        <v>12</v>
      </c>
      <c r="C9" s="11"/>
    </row>
    <row r="10" spans="1:3" ht="12">
      <c r="A10" s="6" t="s">
        <v>20</v>
      </c>
      <c r="B10" s="52">
        <v>12</v>
      </c>
      <c r="C10" s="11"/>
    </row>
    <row r="11" spans="1:3" ht="12">
      <c r="A11" s="6" t="s">
        <v>21</v>
      </c>
      <c r="B11" s="4">
        <v>29</v>
      </c>
      <c r="C11" s="12">
        <f>PI()*B11/180</f>
        <v>0.5061454830783556</v>
      </c>
    </row>
    <row r="12" spans="1:3" ht="12">
      <c r="A12" s="6" t="s">
        <v>22</v>
      </c>
      <c r="B12" s="4">
        <v>1.5</v>
      </c>
      <c r="C12" s="12"/>
    </row>
    <row r="13" spans="1:3" ht="12">
      <c r="A13" s="6" t="s">
        <v>51</v>
      </c>
      <c r="B13" s="4">
        <v>300</v>
      </c>
      <c r="C13" s="32">
        <f>1000*sigmax/6.9</f>
        <v>43478.260869565216</v>
      </c>
    </row>
    <row r="14" spans="1:3" ht="12">
      <c r="A14" s="6" t="s">
        <v>23</v>
      </c>
      <c r="B14" s="5">
        <f>lead/dscrew</f>
        <v>0.125</v>
      </c>
      <c r="C14" s="3"/>
    </row>
    <row r="15" spans="1:3" ht="12">
      <c r="A15" s="6" t="s">
        <v>24</v>
      </c>
      <c r="B15" s="13">
        <f>thrust*lead/(2*PI()*et)</f>
        <v>1092.3806229402733</v>
      </c>
      <c r="C15" s="14"/>
    </row>
    <row r="16" spans="1:3" ht="12">
      <c r="A16" s="6" t="s">
        <v>25</v>
      </c>
      <c r="B16" s="13">
        <f>thrust*(dthrust/2)*mu</f>
        <v>120</v>
      </c>
      <c r="C16" s="14"/>
    </row>
    <row r="17" spans="1:3" ht="12">
      <c r="A17" s="6" t="s">
        <v>26</v>
      </c>
      <c r="B17" s="25">
        <f>lead/(lead+dthrust*mu*PI()*et)</f>
        <v>0.9010211828452229</v>
      </c>
      <c r="C17" s="14"/>
    </row>
    <row r="18" spans="1:3" ht="12">
      <c r="A18" s="6" t="s">
        <v>27</v>
      </c>
      <c r="B18" s="17">
        <f>B15+B16</f>
        <v>1212.3806229402733</v>
      </c>
      <c r="C18" s="14"/>
    </row>
    <row r="19" spans="1:3" ht="12">
      <c r="A19" s="6" t="s">
        <v>28</v>
      </c>
      <c r="B19" s="15" t="str">
        <f>IF(lead&lt;2*PI()*(dscrew/2)*mu/COS(alpha),"NO","YES")</f>
        <v>YES</v>
      </c>
      <c r="C19" s="14"/>
    </row>
    <row r="20" spans="1:3" ht="12">
      <c r="A20" s="6" t="s">
        <v>29</v>
      </c>
      <c r="B20" s="16">
        <f>(COS(alpha)-mu*beta/PI())/(COS(alpha)+mu*PI()/beta)</f>
        <v>0.8741730112175228</v>
      </c>
      <c r="C20" s="14"/>
    </row>
    <row r="21" spans="1:3" ht="12">
      <c r="A21" s="6" t="s">
        <v>30</v>
      </c>
      <c r="B21" s="16">
        <f>et*etathrust</f>
        <v>0.7876484005785827</v>
      </c>
      <c r="C21" s="14"/>
    </row>
    <row r="22" spans="1:3" ht="12.75" thickBot="1">
      <c r="A22" s="40" t="s">
        <v>45</v>
      </c>
      <c r="B22" s="41"/>
      <c r="C22" s="42"/>
    </row>
    <row r="23" spans="1:3" ht="12">
      <c r="A23" s="22" t="s">
        <v>31</v>
      </c>
      <c r="B23" s="26">
        <f>(B18*16)/(PI()*(0.9*B9)^3)</f>
        <v>4.90159957958075</v>
      </c>
      <c r="C23" s="2"/>
    </row>
    <row r="24" spans="1:3" ht="12">
      <c r="A24" s="6" t="s">
        <v>32</v>
      </c>
      <c r="B24" s="17">
        <f>thrust/(PI()*(0.9*dscrew)^2/4)</f>
        <v>43.663907569792954</v>
      </c>
      <c r="C24" s="3"/>
    </row>
    <row r="25" spans="1:3" ht="12">
      <c r="A25" s="6" t="s">
        <v>33</v>
      </c>
      <c r="B25" s="18">
        <f>scf*SQRT(B24^2+3*B23^2)</f>
        <v>66.72241890139242</v>
      </c>
      <c r="C25" s="3"/>
    </row>
    <row r="26" spans="1:3" ht="12">
      <c r="A26" s="6" t="s">
        <v>44</v>
      </c>
      <c r="B26" s="18">
        <f>sigma/sigmax</f>
        <v>0.2224080630046414</v>
      </c>
      <c r="C26" s="3"/>
    </row>
    <row r="27" spans="1:3" ht="12.75" thickBot="1">
      <c r="A27" s="40" t="s">
        <v>42</v>
      </c>
      <c r="B27" s="41"/>
      <c r="C27" s="42"/>
    </row>
    <row r="28" spans="1:3" ht="12">
      <c r="A28" s="22" t="s">
        <v>39</v>
      </c>
      <c r="B28" s="27">
        <v>0</v>
      </c>
      <c r="C28" s="28"/>
    </row>
    <row r="29" spans="1:3" ht="12">
      <c r="A29" s="6" t="s">
        <v>40</v>
      </c>
      <c r="B29" s="21">
        <v>1</v>
      </c>
      <c r="C29" s="19"/>
    </row>
    <row r="30" spans="1:3" ht="12">
      <c r="A30" s="6" t="s">
        <v>34</v>
      </c>
      <c r="B30" s="4">
        <f>nratio^nstage</f>
        <v>1</v>
      </c>
      <c r="C30" s="19"/>
    </row>
    <row r="31" spans="1:3" ht="12">
      <c r="A31" s="6" t="s">
        <v>43</v>
      </c>
      <c r="B31" s="4">
        <v>0.9</v>
      </c>
      <c r="C31" s="19"/>
    </row>
    <row r="32" spans="1:3" ht="12">
      <c r="A32" s="6" t="s">
        <v>38</v>
      </c>
      <c r="B32" s="20">
        <f>etastage^nstage</f>
        <v>1</v>
      </c>
      <c r="C32" s="3"/>
    </row>
    <row r="33" spans="1:3" ht="12.75" thickBot="1">
      <c r="A33" s="40" t="s">
        <v>41</v>
      </c>
      <c r="B33" s="41"/>
      <c r="C33" s="42"/>
    </row>
    <row r="34" spans="1:3" ht="12">
      <c r="A34" s="22" t="s">
        <v>35</v>
      </c>
      <c r="B34" s="10">
        <v>140</v>
      </c>
      <c r="C34" s="2"/>
    </row>
    <row r="35" spans="1:3" ht="12">
      <c r="A35" s="6" t="s">
        <v>36</v>
      </c>
      <c r="B35" s="4">
        <v>5</v>
      </c>
      <c r="C35" s="3"/>
    </row>
    <row r="36" spans="1:3" ht="12">
      <c r="A36" s="53" t="s">
        <v>62</v>
      </c>
      <c r="B36" s="54">
        <v>0.2</v>
      </c>
      <c r="C36" s="55"/>
    </row>
    <row r="37" spans="1:3" ht="12">
      <c r="A37" s="53" t="s">
        <v>61</v>
      </c>
      <c r="B37" s="54">
        <v>0.1</v>
      </c>
      <c r="C37" s="55"/>
    </row>
    <row r="38" spans="1:3" ht="12.75" thickBot="1">
      <c r="A38" s="40" t="s">
        <v>48</v>
      </c>
      <c r="B38" s="41"/>
      <c r="C38" s="42"/>
    </row>
    <row r="39" spans="1:3" ht="12">
      <c r="A39" s="22" t="s">
        <v>37</v>
      </c>
      <c r="B39" s="28">
        <f>60*s*n/(lead*tt*(1-zetau/2-zetad/2))</f>
        <v>1317.6470588235295</v>
      </c>
      <c r="C39" s="28">
        <f>B39*2*PI()/60</f>
        <v>137.98367733413994</v>
      </c>
    </row>
    <row r="40" spans="1:3" ht="12">
      <c r="A40" s="6" t="s">
        <v>47</v>
      </c>
      <c r="B40" s="19">
        <f>gamtotal/(n*etagearbox)</f>
        <v>1212.3806229402733</v>
      </c>
      <c r="C40" s="14"/>
    </row>
    <row r="41" spans="1:3" ht="12">
      <c r="A41" s="6" t="s">
        <v>69</v>
      </c>
      <c r="B41" s="19">
        <f>gammotor*w/1000</f>
        <v>167.28873668195425</v>
      </c>
      <c r="C41" s="14"/>
    </row>
    <row r="42" spans="1:3" ht="12.75" thickBot="1">
      <c r="A42" s="40" t="s">
        <v>50</v>
      </c>
      <c r="B42" s="41"/>
      <c r="C42" s="42"/>
    </row>
    <row r="43" spans="1:3" ht="12">
      <c r="A43" s="22" t="s">
        <v>49</v>
      </c>
      <c r="B43" s="33">
        <f>2*gammotor</f>
        <v>2424.7612458805465</v>
      </c>
      <c r="C43" s="29"/>
    </row>
    <row r="44" spans="1:3" ht="12">
      <c r="A44" s="6" t="s">
        <v>7</v>
      </c>
      <c r="B44" s="4">
        <v>0.5</v>
      </c>
      <c r="C44" s="5">
        <f>B44*100000/1000000</f>
        <v>0.05</v>
      </c>
    </row>
    <row r="45" spans="1:3" ht="12">
      <c r="A45" s="43" t="s">
        <v>0</v>
      </c>
      <c r="B45" s="44"/>
      <c r="C45" s="45"/>
    </row>
    <row r="46" spans="1:3" ht="12">
      <c r="A46" s="23" t="s">
        <v>6</v>
      </c>
      <c r="B46" s="7">
        <v>2</v>
      </c>
      <c r="C46" s="7"/>
    </row>
    <row r="47" spans="1:3" ht="12">
      <c r="A47" s="23" t="s">
        <v>5</v>
      </c>
      <c r="B47" s="7">
        <v>1.5</v>
      </c>
      <c r="C47" s="7"/>
    </row>
    <row r="48" spans="1:3" ht="12">
      <c r="A48" s="23" t="s">
        <v>1</v>
      </c>
      <c r="B48" s="7">
        <v>1.75</v>
      </c>
      <c r="C48" s="7"/>
    </row>
    <row r="49" spans="1:3" ht="12">
      <c r="A49" s="24" t="s">
        <v>8</v>
      </c>
      <c r="B49" s="8">
        <v>2</v>
      </c>
      <c r="C49" s="8"/>
    </row>
    <row r="50" spans="1:3" ht="12">
      <c r="A50" s="24" t="s">
        <v>9</v>
      </c>
      <c r="B50" s="8">
        <v>3</v>
      </c>
      <c r="C50" s="8"/>
    </row>
    <row r="51" spans="1:3" ht="12">
      <c r="A51" s="43" t="s">
        <v>2</v>
      </c>
      <c r="B51" s="44"/>
      <c r="C51" s="45"/>
    </row>
    <row r="52" spans="1:3" ht="12">
      <c r="A52" s="30" t="s">
        <v>3</v>
      </c>
      <c r="B52" s="31">
        <f>(gam*2*(hdrd^2)*hlrl/(PI()*tau*hlhd))^(1/3)</f>
        <v>41.39095884659282</v>
      </c>
      <c r="C52" s="9"/>
    </row>
    <row r="53" spans="1:3" ht="12">
      <c r="A53" s="30" t="s">
        <v>4</v>
      </c>
      <c r="B53" s="31">
        <f>dhousing*hlhd</f>
        <v>82.78191769318563</v>
      </c>
      <c r="C53" s="9"/>
    </row>
    <row r="54" spans="1:3" ht="12">
      <c r="A54" s="57" t="s">
        <v>73</v>
      </c>
      <c r="B54" s="31"/>
      <c r="C54" s="56"/>
    </row>
    <row r="55" spans="1:3" ht="12">
      <c r="A55" s="30" t="s">
        <v>74</v>
      </c>
      <c r="B55" s="31">
        <f>dhousing/hdrd</f>
        <v>23.651976483767324</v>
      </c>
      <c r="C55" s="56"/>
    </row>
    <row r="56" spans="1:3" ht="12">
      <c r="A56" s="30" t="s">
        <v>12</v>
      </c>
      <c r="B56" s="31">
        <f>lhousing/hlrl</f>
        <v>55.187945128790425</v>
      </c>
      <c r="C56" s="56"/>
    </row>
    <row r="57" spans="1:2" ht="12">
      <c r="A57" s="1" t="s">
        <v>52</v>
      </c>
      <c r="B57" s="1">
        <v>6000</v>
      </c>
    </row>
    <row r="58" spans="1:2" ht="12">
      <c r="A58" s="1" t="s">
        <v>53</v>
      </c>
      <c r="B58" s="34">
        <f>PI()*B57*lhousing*dhousing^2/4000000000</f>
        <v>0.6683248183958248</v>
      </c>
    </row>
    <row r="59" spans="1:2" ht="12">
      <c r="A59" s="1" t="s">
        <v>54</v>
      </c>
      <c r="B59" s="34">
        <v>0.5</v>
      </c>
    </row>
    <row r="60" spans="1:2" ht="12">
      <c r="A60" s="1" t="s">
        <v>55</v>
      </c>
      <c r="B60" s="34">
        <v>2</v>
      </c>
    </row>
    <row r="61" spans="1:2" ht="12">
      <c r="A61" s="1" t="s">
        <v>56</v>
      </c>
      <c r="B61" s="34">
        <f>B60*(B58+B58*B59)</f>
        <v>2.004974455187474</v>
      </c>
    </row>
    <row r="62" spans="1:2" ht="12">
      <c r="A62" s="1" t="s">
        <v>57</v>
      </c>
      <c r="B62" s="34">
        <f>7900*B60*PI()*s*dscrew^2/4000000000</f>
        <v>0.25017130619066247</v>
      </c>
    </row>
    <row r="63" spans="1:2" ht="12">
      <c r="A63" s="1" t="s">
        <v>59</v>
      </c>
      <c r="B63" s="34" t="s">
        <v>60</v>
      </c>
    </row>
    <row r="64" spans="1:2" ht="15.75">
      <c r="A64" s="35" t="s">
        <v>58</v>
      </c>
      <c r="B64" s="36">
        <f>IF(B63="yes",0,1)*B62+B61</f>
        <v>2.2551457613781367</v>
      </c>
    </row>
    <row r="65" ht="12">
      <c r="B65" s="34"/>
    </row>
    <row r="67" spans="1:3" ht="12">
      <c r="A67" s="46" t="s">
        <v>10</v>
      </c>
      <c r="B67" s="47"/>
      <c r="C67" s="48"/>
    </row>
    <row r="68" spans="1:3" ht="12">
      <c r="A68" s="23" t="s">
        <v>11</v>
      </c>
      <c r="B68" s="9">
        <f>IF(nstage=0,0,dhousing*gdmd)</f>
        <v>0</v>
      </c>
      <c r="C68" s="9"/>
    </row>
    <row r="69" spans="1:3" ht="12">
      <c r="A69" s="23" t="s">
        <v>12</v>
      </c>
      <c r="B69" s="9">
        <f>IF(nstage=0,0,lhousing*glml)</f>
        <v>0</v>
      </c>
      <c r="C69" s="9"/>
    </row>
  </sheetData>
  <sheetProtection/>
  <mergeCells count="13">
    <mergeCell ref="A51:C51"/>
    <mergeCell ref="A67:C67"/>
    <mergeCell ref="A1:C1"/>
    <mergeCell ref="A4:C4"/>
    <mergeCell ref="A3:C3"/>
    <mergeCell ref="A2:C2"/>
    <mergeCell ref="A45:C45"/>
    <mergeCell ref="A5:C5"/>
    <mergeCell ref="A22:C22"/>
    <mergeCell ref="A27:C27"/>
    <mergeCell ref="A33:C33"/>
    <mergeCell ref="A38:C38"/>
    <mergeCell ref="A42:C42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H13" sqref="H13"/>
    </sheetView>
  </sheetViews>
  <sheetFormatPr defaultColWidth="11.421875" defaultRowHeight="12.75"/>
  <sheetData>
    <row r="1" spans="1:3" ht="12">
      <c r="A1" t="s">
        <v>64</v>
      </c>
      <c r="B1" t="s">
        <v>65</v>
      </c>
      <c r="C1" t="s">
        <v>66</v>
      </c>
    </row>
    <row r="2" spans="1:3" ht="12">
      <c r="A2" t="s">
        <v>68</v>
      </c>
      <c r="B2" t="s">
        <v>67</v>
      </c>
      <c r="C2" t="s">
        <v>75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9"/>
  <sheetViews>
    <sheetView tabSelected="1" workbookViewId="0" topLeftCell="A1">
      <selection activeCell="E15" sqref="E15"/>
    </sheetView>
  </sheetViews>
  <sheetFormatPr defaultColWidth="8.8515625" defaultRowHeight="12.75"/>
  <cols>
    <col min="1" max="1" width="37.140625" style="0" customWidth="1"/>
  </cols>
  <sheetData>
    <row r="2" spans="1:2" ht="12">
      <c r="A2" t="s">
        <v>71</v>
      </c>
      <c r="B2">
        <f>thrust</f>
        <v>4000</v>
      </c>
    </row>
    <row r="3" spans="1:2" ht="12">
      <c r="A3" t="s">
        <v>70</v>
      </c>
      <c r="B3">
        <f>dscrew</f>
        <v>12</v>
      </c>
    </row>
    <row r="4" spans="1:2" ht="12">
      <c r="A4" t="s">
        <v>72</v>
      </c>
      <c r="B4" s="58">
        <f>PI()*B3</f>
        <v>37.69911184307752</v>
      </c>
    </row>
    <row r="5" spans="1:2" ht="12">
      <c r="A5" t="s">
        <v>89</v>
      </c>
      <c r="B5">
        <v>7</v>
      </c>
    </row>
    <row r="6" spans="1:2" ht="12">
      <c r="A6" t="s">
        <v>76</v>
      </c>
      <c r="B6" s="60">
        <f>ROUNDDOWN(B4/B5,0)</f>
        <v>5</v>
      </c>
    </row>
    <row r="7" spans="1:2" ht="12">
      <c r="A7" t="s">
        <v>77</v>
      </c>
      <c r="B7">
        <v>20</v>
      </c>
    </row>
    <row r="8" spans="1:2" ht="12">
      <c r="A8" t="s">
        <v>78</v>
      </c>
      <c r="B8">
        <f>lead</f>
        <v>1.5</v>
      </c>
    </row>
    <row r="9" spans="1:2" ht="12">
      <c r="A9" t="s">
        <v>79</v>
      </c>
      <c r="B9" s="60">
        <f>B8*B7</f>
        <v>30</v>
      </c>
    </row>
    <row r="10" spans="1:2" ht="12">
      <c r="A10" t="s">
        <v>80</v>
      </c>
      <c r="B10" s="60">
        <f>B7*B6</f>
        <v>100</v>
      </c>
    </row>
    <row r="11" spans="1:2" ht="12">
      <c r="A11" t="s">
        <v>81</v>
      </c>
      <c r="B11" s="61">
        <f>B2/B10</f>
        <v>40</v>
      </c>
    </row>
    <row r="12" spans="1:2" ht="12">
      <c r="A12" t="s">
        <v>82</v>
      </c>
      <c r="B12">
        <v>1.5</v>
      </c>
    </row>
    <row r="13" spans="1:2" ht="12">
      <c r="A13" t="s">
        <v>84</v>
      </c>
      <c r="B13">
        <v>3</v>
      </c>
    </row>
    <row r="14" spans="1:2" ht="12">
      <c r="A14" t="s">
        <v>83</v>
      </c>
      <c r="B14">
        <v>1</v>
      </c>
    </row>
    <row r="15" spans="1:2" ht="12">
      <c r="A15" t="s">
        <v>85</v>
      </c>
      <c r="B15" s="59">
        <f>PI()*B13*B14/4</f>
        <v>2.356194490192345</v>
      </c>
    </row>
    <row r="16" spans="1:2" ht="12">
      <c r="A16" t="s">
        <v>86</v>
      </c>
      <c r="B16">
        <v>35</v>
      </c>
    </row>
    <row r="17" spans="1:2" ht="12">
      <c r="A17" t="s">
        <v>87</v>
      </c>
      <c r="B17" s="58">
        <f>B16*B15/2</f>
        <v>41.23340357836604</v>
      </c>
    </row>
    <row r="19" spans="1:2" ht="12">
      <c r="A19" t="s">
        <v>88</v>
      </c>
      <c r="B19" s="59">
        <f>B17/B11</f>
        <v>1.030835089459151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 Slocum</cp:lastModifiedBy>
  <dcterms:created xsi:type="dcterms:W3CDTF">2003-08-13T20:53:29Z</dcterms:created>
  <dcterms:modified xsi:type="dcterms:W3CDTF">2015-12-16T00:36:18Z</dcterms:modified>
  <cp:category/>
  <cp:version/>
  <cp:contentType/>
  <cp:contentStatus/>
</cp:coreProperties>
</file>