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D">'Sheet1'!$C$7</definedName>
    <definedName name="dd">'Sheet1'!$C$8</definedName>
  </definedNames>
  <calcPr fullCalcOnLoad="1"/>
</workbook>
</file>

<file path=xl/sharedStrings.xml><?xml version="1.0" encoding="utf-8"?>
<sst xmlns="http://schemas.openxmlformats.org/spreadsheetml/2006/main" count="38" uniqueCount="31">
  <si>
    <t>Large diameter, D</t>
  </si>
  <si>
    <t>Kt</t>
  </si>
  <si>
    <t>Motor speed (rpm, rad/sec)</t>
  </si>
  <si>
    <t>Motor Power (W)</t>
  </si>
  <si>
    <t>Shaft torque (N-m)</t>
  </si>
  <si>
    <t>Shaft length (mm)</t>
  </si>
  <si>
    <t>Shaft min d</t>
  </si>
  <si>
    <t>transition radius (mm)</t>
  </si>
  <si>
    <t>Major shaft diameter</t>
  </si>
  <si>
    <t>Shaft twist along minor diameter (deg, rad)</t>
  </si>
  <si>
    <t>Small diameter, d</t>
  </si>
  <si>
    <t>radius r (mm)</t>
  </si>
  <si>
    <t>Hole d (mm)</t>
  </si>
  <si>
    <r>
      <t xml:space="preserve">Stress (Mpa) </t>
    </r>
    <r>
      <rPr>
        <sz val="9"/>
        <rFont val="Symbol"/>
        <family val="1"/>
      </rPr>
      <t>t/G</t>
    </r>
  </si>
  <si>
    <t>Shaft Poisson ratio</t>
  </si>
  <si>
    <t>Shaft modulus, E (GPa)</t>
  </si>
  <si>
    <t>Shear modulus, G (GPa)</t>
  </si>
  <si>
    <t>Undercut design torsion stress (MPa)</t>
  </si>
  <si>
    <t>Fillet design torsion stress (MPa)</t>
  </si>
  <si>
    <t>Polar I at fillet shaft diameter (mm^4)</t>
  </si>
  <si>
    <t>Polar I at undercut shaft diameter (mm^4)</t>
  </si>
  <si>
    <t>Fillet stress concentration factor, Kt</t>
  </si>
  <si>
    <t>Undercut stress concentration factor, Kt</t>
  </si>
  <si>
    <t>shaft_torsion.xls</t>
  </si>
  <si>
    <t>To help design shafts in torsion</t>
  </si>
  <si>
    <t>By Alex Slocum, last modified 2/12/2004 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</si>
  <si>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</si>
  <si>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Case 1: with radius between diameters</t>
  </si>
  <si>
    <t>Case 2: with radius undercut between diameters</t>
  </si>
  <si>
    <t>Case 3: with hole in the middle</t>
  </si>
  <si>
    <t>Case 4: with slab in the middle, where corner radius is r, width is b=D/4, and depth is t=D/8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</si>
</sst>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color indexed="8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Symbol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6"/>
      <color indexed="8"/>
      <name val="Times New Roman"/>
      <family val="1"/>
    </font>
    <font>
      <sz val="10"/>
      <color indexed="57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2" borderId="0" xfId="0" applyAlignment="1">
      <alignment/>
    </xf>
    <xf numFmtId="0" fontId="5" fillId="2" borderId="0" xfId="0" applyFont="1" applyAlignment="1">
      <alignment/>
    </xf>
    <xf numFmtId="0" fontId="5" fillId="2" borderId="0" xfId="0" applyFont="1" applyBorder="1" applyAlignment="1">
      <alignment/>
    </xf>
    <xf numFmtId="2" fontId="6" fillId="2" borderId="0" xfId="0" applyNumberFormat="1" applyFont="1" applyBorder="1" applyAlignment="1">
      <alignment/>
    </xf>
    <xf numFmtId="11" fontId="6" fillId="2" borderId="0" xfId="0" applyNumberFormat="1" applyFont="1" applyBorder="1" applyAlignment="1">
      <alignment/>
    </xf>
    <xf numFmtId="0" fontId="6" fillId="2" borderId="0" xfId="0" applyFont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/>
    </xf>
    <xf numFmtId="0" fontId="12" fillId="2" borderId="0" xfId="0" applyFont="1" applyAlignment="1">
      <alignment/>
    </xf>
    <xf numFmtId="0" fontId="4" fillId="3" borderId="13" xfId="0" applyFont="1" applyFill="1" applyBorder="1" applyAlignment="1">
      <alignment/>
    </xf>
    <xf numFmtId="2" fontId="6" fillId="3" borderId="13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/>
    </xf>
    <xf numFmtId="2" fontId="6" fillId="3" borderId="13" xfId="0" applyNumberFormat="1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67" fontId="6" fillId="3" borderId="17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2" fontId="6" fillId="3" borderId="19" xfId="0" applyNumberFormat="1" applyFont="1" applyFill="1" applyBorder="1" applyAlignment="1">
      <alignment horizontal="center"/>
    </xf>
    <xf numFmtId="167" fontId="6" fillId="3" borderId="20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2" fontId="6" fillId="3" borderId="20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/>
    </xf>
    <xf numFmtId="2" fontId="6" fillId="3" borderId="19" xfId="0" applyNumberFormat="1" applyFont="1" applyFill="1" applyBorder="1" applyAlignment="1">
      <alignment/>
    </xf>
    <xf numFmtId="2" fontId="6" fillId="3" borderId="20" xfId="0" applyNumberFormat="1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8" fillId="2" borderId="0" xfId="0" applyFont="1" applyBorder="1" applyAlignment="1">
      <alignment horizontal="left"/>
    </xf>
    <xf numFmtId="0" fontId="13" fillId="4" borderId="1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5" fillId="3" borderId="13" xfId="0" applyFont="1" applyFill="1" applyBorder="1" applyAlignment="1">
      <alignment/>
    </xf>
    <xf numFmtId="166" fontId="6" fillId="3" borderId="13" xfId="0" applyNumberFormat="1" applyFont="1" applyFill="1" applyBorder="1" applyAlignment="1">
      <alignment/>
    </xf>
    <xf numFmtId="11" fontId="4" fillId="3" borderId="13" xfId="0" applyNumberFormat="1" applyFont="1" applyFill="1" applyBorder="1" applyAlignment="1">
      <alignment/>
    </xf>
    <xf numFmtId="11" fontId="6" fillId="3" borderId="13" xfId="0" applyNumberFormat="1" applyFont="1" applyFill="1" applyBorder="1" applyAlignment="1">
      <alignment/>
    </xf>
    <xf numFmtId="1" fontId="6" fillId="3" borderId="13" xfId="0" applyNumberFormat="1" applyFont="1" applyFill="1" applyBorder="1" applyAlignment="1">
      <alignment/>
    </xf>
    <xf numFmtId="167" fontId="6" fillId="3" borderId="1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3" fillId="4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7</xdr:row>
      <xdr:rowOff>9525</xdr:rowOff>
    </xdr:from>
    <xdr:to>
      <xdr:col>7</xdr:col>
      <xdr:colOff>581025</xdr:colOff>
      <xdr:row>12</xdr:row>
      <xdr:rowOff>76200</xdr:rowOff>
    </xdr:to>
    <xdr:grpSp>
      <xdr:nvGrpSpPr>
        <xdr:cNvPr id="1" name="Group 42"/>
        <xdr:cNvGrpSpPr>
          <a:grpSpLocks noChangeAspect="1"/>
        </xdr:cNvGrpSpPr>
      </xdr:nvGrpSpPr>
      <xdr:grpSpPr>
        <a:xfrm>
          <a:off x="4476750" y="1181100"/>
          <a:ext cx="2143125" cy="876300"/>
          <a:chOff x="432" y="1824"/>
          <a:chExt cx="1344" cy="537"/>
        </a:xfrm>
        <a:solidFill>
          <a:srgbClr val="FFFFFF"/>
        </a:solidFill>
      </xdr:grpSpPr>
      <xdr:pic>
        <xdr:nvPicPr>
          <xdr:cNvPr id="2" name="Picture 43"/>
          <xdr:cNvPicPr preferRelativeResize="1">
            <a:picLocks noChangeAspect="1"/>
          </xdr:cNvPicPr>
        </xdr:nvPicPr>
        <xdr:blipFill>
          <a:blip r:embed="rId1"/>
          <a:srcRect l="15090" t="28352" r="17999" b="27412"/>
          <a:stretch>
            <a:fillRect/>
          </a:stretch>
        </xdr:blipFill>
        <xdr:spPr>
          <a:xfrm>
            <a:off x="672" y="1920"/>
            <a:ext cx="864" cy="44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4"/>
          <xdr:cNvGrpSpPr>
            <a:grpSpLocks noChangeAspect="1"/>
          </xdr:cNvGrpSpPr>
        </xdr:nvGrpSpPr>
        <xdr:grpSpPr>
          <a:xfrm>
            <a:off x="432" y="1968"/>
            <a:ext cx="1344" cy="288"/>
            <a:chOff x="576" y="1968"/>
            <a:chExt cx="1344" cy="288"/>
          </a:xfrm>
          <a:solidFill>
            <a:srgbClr val="FFFFFF"/>
          </a:solidFill>
        </xdr:grpSpPr>
      </xdr:grpSp>
      <xdr:sp>
        <xdr:nvSpPr>
          <xdr:cNvPr id="7" name="AutoShape 48"/>
          <xdr:cNvSpPr>
            <a:spLocks noChangeAspect="1"/>
          </xdr:cNvSpPr>
        </xdr:nvSpPr>
        <xdr:spPr>
          <a:xfrm flipH="1">
            <a:off x="1152" y="1968"/>
            <a:ext cx="96" cy="4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8</xdr:row>
      <xdr:rowOff>47625</xdr:rowOff>
    </xdr:from>
    <xdr:to>
      <xdr:col>10</xdr:col>
      <xdr:colOff>790575</xdr:colOff>
      <xdr:row>12</xdr:row>
      <xdr:rowOff>123825</xdr:rowOff>
    </xdr:to>
    <xdr:grpSp>
      <xdr:nvGrpSpPr>
        <xdr:cNvPr id="8" name="Group 50"/>
        <xdr:cNvGrpSpPr>
          <a:grpSpLocks/>
        </xdr:cNvGrpSpPr>
      </xdr:nvGrpSpPr>
      <xdr:grpSpPr>
        <a:xfrm>
          <a:off x="7267575" y="1381125"/>
          <a:ext cx="2505075" cy="723900"/>
          <a:chOff x="1072" y="186"/>
          <a:chExt cx="300" cy="75"/>
        </a:xfrm>
        <a:solidFill>
          <a:srgbClr val="FFFFFF"/>
        </a:solidFill>
      </xdr:grpSpPr>
      <xdr:pic>
        <xdr:nvPicPr>
          <xdr:cNvPr id="9" name="Picture 51"/>
          <xdr:cNvPicPr preferRelativeResize="1">
            <a:picLocks noChangeAspect="1"/>
          </xdr:cNvPicPr>
        </xdr:nvPicPr>
        <xdr:blipFill>
          <a:blip r:embed="rId2"/>
          <a:srcRect l="13636" t="29293" r="15818" b="30235"/>
          <a:stretch>
            <a:fillRect/>
          </a:stretch>
        </xdr:blipFill>
        <xdr:spPr>
          <a:xfrm>
            <a:off x="1116" y="186"/>
            <a:ext cx="207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AutoShape 54"/>
          <xdr:cNvSpPr>
            <a:spLocks/>
          </xdr:cNvSpPr>
        </xdr:nvSpPr>
        <xdr:spPr>
          <a:xfrm flipV="1">
            <a:off x="1203" y="215"/>
            <a:ext cx="0" cy="1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352425</xdr:colOff>
      <xdr:row>26</xdr:row>
      <xdr:rowOff>0</xdr:rowOff>
    </xdr:from>
    <xdr:to>
      <xdr:col>7</xdr:col>
      <xdr:colOff>657225</xdr:colOff>
      <xdr:row>31</xdr:row>
      <xdr:rowOff>28575</xdr:rowOff>
    </xdr:to>
    <xdr:grpSp>
      <xdr:nvGrpSpPr>
        <xdr:cNvPr id="14" name="Group 56"/>
        <xdr:cNvGrpSpPr>
          <a:grpSpLocks/>
        </xdr:cNvGrpSpPr>
      </xdr:nvGrpSpPr>
      <xdr:grpSpPr>
        <a:xfrm>
          <a:off x="4429125" y="4257675"/>
          <a:ext cx="2266950" cy="838200"/>
          <a:chOff x="432" y="2352"/>
          <a:chExt cx="1344" cy="528"/>
        </a:xfrm>
        <a:solidFill>
          <a:srgbClr val="FFFFFF"/>
        </a:solidFill>
      </xdr:grpSpPr>
      <xdr:pic>
        <xdr:nvPicPr>
          <xdr:cNvPr id="15" name="Picture 57"/>
          <xdr:cNvPicPr preferRelativeResize="1">
            <a:picLocks noChangeAspect="1"/>
          </xdr:cNvPicPr>
        </xdr:nvPicPr>
        <xdr:blipFill>
          <a:blip r:embed="rId3"/>
          <a:srcRect l="14363" t="31176" r="14363" b="32118"/>
          <a:stretch>
            <a:fillRect/>
          </a:stretch>
        </xdr:blipFill>
        <xdr:spPr>
          <a:xfrm>
            <a:off x="672" y="2536"/>
            <a:ext cx="864" cy="34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 58"/>
          <xdr:cNvGrpSpPr>
            <a:grpSpLocks/>
          </xdr:cNvGrpSpPr>
        </xdr:nvGrpSpPr>
        <xdr:grpSpPr>
          <a:xfrm>
            <a:off x="432" y="2544"/>
            <a:ext cx="1344" cy="288"/>
            <a:chOff x="576" y="1968"/>
            <a:chExt cx="1344" cy="288"/>
          </a:xfrm>
          <a:solidFill>
            <a:srgbClr val="FFFFFF"/>
          </a:solidFill>
        </xdr:grpSpPr>
      </xdr:grpSp>
      <xdr:sp>
        <xdr:nvSpPr>
          <xdr:cNvPr id="20" name="AutoShape 62"/>
          <xdr:cNvSpPr>
            <a:spLocks/>
          </xdr:cNvSpPr>
        </xdr:nvSpPr>
        <xdr:spPr>
          <a:xfrm flipH="1">
            <a:off x="1056" y="2496"/>
            <a:ext cx="48" cy="9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542925</xdr:colOff>
      <xdr:row>25</xdr:row>
      <xdr:rowOff>85725</xdr:rowOff>
    </xdr:from>
    <xdr:to>
      <xdr:col>10</xdr:col>
      <xdr:colOff>323850</xdr:colOff>
      <xdr:row>31</xdr:row>
      <xdr:rowOff>28575</xdr:rowOff>
    </xdr:to>
    <xdr:grpSp>
      <xdr:nvGrpSpPr>
        <xdr:cNvPr id="21" name="Group 63"/>
        <xdr:cNvGrpSpPr>
          <a:grpSpLocks/>
        </xdr:cNvGrpSpPr>
      </xdr:nvGrpSpPr>
      <xdr:grpSpPr>
        <a:xfrm>
          <a:off x="7562850" y="4181475"/>
          <a:ext cx="1743075" cy="914400"/>
          <a:chOff x="1049" y="484"/>
          <a:chExt cx="235" cy="125"/>
        </a:xfrm>
        <a:solidFill>
          <a:srgbClr val="FFFFFF"/>
        </a:solidFill>
      </xdr:grpSpPr>
      <xdr:pic>
        <xdr:nvPicPr>
          <xdr:cNvPr id="23" name="Picture 65"/>
          <xdr:cNvPicPr preferRelativeResize="1">
            <a:picLocks noChangeAspect="1"/>
          </xdr:cNvPicPr>
        </xdr:nvPicPr>
        <xdr:blipFill>
          <a:blip r:embed="rId4"/>
          <a:srcRect l="14363" t="31176" r="14363" b="31176"/>
          <a:stretch>
            <a:fillRect/>
          </a:stretch>
        </xdr:blipFill>
        <xdr:spPr>
          <a:xfrm>
            <a:off x="1100" y="524"/>
            <a:ext cx="184" cy="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" name="AutoShape 67"/>
          <xdr:cNvSpPr>
            <a:spLocks/>
          </xdr:cNvSpPr>
        </xdr:nvSpPr>
        <xdr:spPr>
          <a:xfrm flipV="1">
            <a:off x="1172" y="519"/>
            <a:ext cx="31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9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7109375" style="0" customWidth="1"/>
    <col min="2" max="2" width="35.140625" style="1" customWidth="1"/>
    <col min="3" max="3" width="10.00390625" style="1" customWidth="1"/>
    <col min="4" max="4" width="7.421875" style="1" customWidth="1"/>
    <col min="5" max="5" width="4.8515625" style="1" customWidth="1"/>
    <col min="6" max="11" width="14.7109375" style="1" customWidth="1"/>
    <col min="12" max="42" width="9.140625" style="1" customWidth="1"/>
  </cols>
  <sheetData>
    <row r="1" spans="2:42" ht="13.5" thickBo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2:4" ht="13.5">
      <c r="B2" s="51" t="s">
        <v>23</v>
      </c>
      <c r="C2" s="56"/>
      <c r="D2" s="66"/>
    </row>
    <row r="3" spans="2:4" ht="12.75">
      <c r="B3" s="52" t="s">
        <v>24</v>
      </c>
      <c r="C3" s="57"/>
      <c r="D3" s="53"/>
    </row>
    <row r="4" spans="2:4" ht="12.75">
      <c r="B4" s="52" t="s">
        <v>25</v>
      </c>
      <c r="C4" s="57"/>
      <c r="D4" s="53"/>
    </row>
    <row r="5" spans="2:4" ht="13.5" thickBot="1">
      <c r="B5" s="54" t="s">
        <v>26</v>
      </c>
      <c r="C5" s="58"/>
      <c r="D5" s="55"/>
    </row>
    <row r="6" spans="2:4" ht="13.5" thickBot="1">
      <c r="B6" s="50"/>
      <c r="C6" s="50"/>
      <c r="D6" s="50"/>
    </row>
    <row r="7" spans="2:11" ht="12.75">
      <c r="B7" s="59" t="s">
        <v>0</v>
      </c>
      <c r="C7" s="31">
        <v>14</v>
      </c>
      <c r="D7" s="59"/>
      <c r="E7" s="2"/>
      <c r="F7" s="6" t="s">
        <v>27</v>
      </c>
      <c r="G7" s="7"/>
      <c r="H7" s="8"/>
      <c r="I7" s="6" t="s">
        <v>28</v>
      </c>
      <c r="J7" s="7"/>
      <c r="K7" s="8"/>
    </row>
    <row r="8" spans="2:11" ht="12.75">
      <c r="B8" s="59" t="s">
        <v>10</v>
      </c>
      <c r="C8" s="31">
        <v>8</v>
      </c>
      <c r="D8" s="59"/>
      <c r="E8" s="2"/>
      <c r="F8" s="9"/>
      <c r="G8" s="10"/>
      <c r="H8" s="11"/>
      <c r="I8" s="9"/>
      <c r="J8" s="10"/>
      <c r="K8" s="11"/>
    </row>
    <row r="9" spans="2:11" ht="12.75">
      <c r="B9" s="59" t="s">
        <v>3</v>
      </c>
      <c r="C9" s="31">
        <v>20</v>
      </c>
      <c r="D9" s="59"/>
      <c r="E9" s="2"/>
      <c r="F9" s="12"/>
      <c r="G9" s="13"/>
      <c r="H9" s="14"/>
      <c r="I9" s="12"/>
      <c r="J9" s="13"/>
      <c r="K9" s="14"/>
    </row>
    <row r="10" spans="2:11" ht="12.75">
      <c r="B10" s="59" t="s">
        <v>2</v>
      </c>
      <c r="C10" s="31">
        <v>100</v>
      </c>
      <c r="D10" s="34">
        <f>C10*(2*PI())/60</f>
        <v>10.471975511965978</v>
      </c>
      <c r="F10" s="12"/>
      <c r="G10" s="13"/>
      <c r="H10" s="14"/>
      <c r="I10" s="12"/>
      <c r="J10" s="13"/>
      <c r="K10" s="14"/>
    </row>
    <row r="11" spans="2:11" ht="12.75">
      <c r="B11" s="59" t="s">
        <v>4</v>
      </c>
      <c r="C11" s="60">
        <f>C9/D10</f>
        <v>1.909859317102744</v>
      </c>
      <c r="D11" s="59"/>
      <c r="F11" s="12"/>
      <c r="G11" s="13"/>
      <c r="H11" s="14"/>
      <c r="I11" s="12"/>
      <c r="J11" s="13"/>
      <c r="K11" s="14"/>
    </row>
    <row r="12" spans="2:11" ht="12.75">
      <c r="B12" s="59" t="s">
        <v>8</v>
      </c>
      <c r="C12" s="33">
        <f>D</f>
        <v>14</v>
      </c>
      <c r="D12" s="59"/>
      <c r="F12" s="12"/>
      <c r="G12" s="13"/>
      <c r="H12" s="14"/>
      <c r="I12" s="12"/>
      <c r="J12" s="13"/>
      <c r="K12" s="14"/>
    </row>
    <row r="13" spans="2:11" ht="12.75">
      <c r="B13" s="59" t="s">
        <v>7</v>
      </c>
      <c r="C13" s="31">
        <v>0.5</v>
      </c>
      <c r="D13" s="59"/>
      <c r="F13" s="15"/>
      <c r="G13" s="16"/>
      <c r="H13" s="17"/>
      <c r="I13" s="15"/>
      <c r="J13" s="16"/>
      <c r="K13" s="17"/>
    </row>
    <row r="14" spans="2:11" ht="12.75">
      <c r="B14" s="59" t="s">
        <v>21</v>
      </c>
      <c r="C14" s="34">
        <f>1+((C13/dd)^(-0.3-0.2*(D/dd)))/(13+0.3/(D/dd-1))</f>
        <v>1.4524527064210144</v>
      </c>
      <c r="D14" s="59"/>
      <c r="F14" s="18" t="s">
        <v>11</v>
      </c>
      <c r="G14" s="19" t="s">
        <v>1</v>
      </c>
      <c r="H14" s="35" t="s">
        <v>13</v>
      </c>
      <c r="I14" s="29" t="s">
        <v>6</v>
      </c>
      <c r="J14" s="19" t="s">
        <v>1</v>
      </c>
      <c r="K14" s="35" t="s">
        <v>13</v>
      </c>
    </row>
    <row r="15" spans="2:11" ht="12.75">
      <c r="B15" s="59" t="s">
        <v>22</v>
      </c>
      <c r="C15" s="34">
        <f>1+((C13/dd)^(-0.609-0.146*(dd/(dd-2*C13)-1)))/(5+3.73/(dd/(dd-2*C13)-1)^0.252)</f>
        <v>1.5169649964910974</v>
      </c>
      <c r="D15" s="59"/>
      <c r="F15" s="36">
        <v>0.1</v>
      </c>
      <c r="G15" s="32">
        <f>1+((F15/dd)^(-0.3-0.2*(D/dd)))/(13+0.3/(D/dd-1))</f>
        <v>2.2879639080395946</v>
      </c>
      <c r="H15" s="37">
        <f aca="true" t="shared" si="0" ref="H15:H24">G15/(PI()*(dd/1000)^3/16)/1000000</f>
        <v>22.75879784877201</v>
      </c>
      <c r="I15" s="42">
        <f aca="true" t="shared" si="1" ref="I15:I24">dd-2*F15</f>
        <v>7.8</v>
      </c>
      <c r="J15" s="32">
        <f aca="true" t="shared" si="2" ref="J15:J24">1+((F15/dd)^(-0.609-0.146*(dd/I15-1)))/(5+3.73/(dd/I15-1)^0.252)</f>
        <v>2.0187108446599065</v>
      </c>
      <c r="K15" s="43">
        <f>J15/(PI()*(I15/1000)^3/16)/1000000</f>
        <v>21.665086033199444</v>
      </c>
    </row>
    <row r="16" spans="2:11" ht="12.75">
      <c r="B16" s="59" t="s">
        <v>5</v>
      </c>
      <c r="C16" s="31">
        <v>50</v>
      </c>
      <c r="D16" s="59"/>
      <c r="F16" s="38">
        <f>F$15+F15</f>
        <v>0.2</v>
      </c>
      <c r="G16" s="32">
        <f aca="true" t="shared" si="3" ref="G16:G24">1+((F16/dd)^(-0.3-0.2*(D/dd)))/(13+0.3/(D/dd-1))</f>
        <v>1.8207940432977572</v>
      </c>
      <c r="H16" s="37">
        <f t="shared" si="0"/>
        <v>18.111773271444786</v>
      </c>
      <c r="I16" s="42">
        <f t="shared" si="1"/>
        <v>7.6</v>
      </c>
      <c r="J16" s="32">
        <f t="shared" si="2"/>
        <v>1.757915279793462</v>
      </c>
      <c r="K16" s="43">
        <f aca="true" t="shared" si="4" ref="K16:K24">J16/(PI()*(I16/1000)^3/16)/1000000</f>
        <v>20.395167394365192</v>
      </c>
    </row>
    <row r="17" spans="2:11" ht="12.75">
      <c r="B17" s="59" t="s">
        <v>15</v>
      </c>
      <c r="C17" s="61">
        <v>200000000000</v>
      </c>
      <c r="D17" s="59"/>
      <c r="F17" s="38">
        <f>F$15+F16</f>
        <v>0.30000000000000004</v>
      </c>
      <c r="G17" s="32">
        <f t="shared" si="3"/>
        <v>1.6306303640062751</v>
      </c>
      <c r="H17" s="37">
        <f t="shared" si="0"/>
        <v>16.22018017420846</v>
      </c>
      <c r="I17" s="42">
        <f t="shared" si="1"/>
        <v>7.4</v>
      </c>
      <c r="J17" s="32">
        <f t="shared" si="2"/>
        <v>1.6385598730672335</v>
      </c>
      <c r="K17" s="43">
        <f t="shared" si="4"/>
        <v>20.593836759969104</v>
      </c>
    </row>
    <row r="18" spans="2:11" ht="12.75">
      <c r="B18" s="59" t="s">
        <v>14</v>
      </c>
      <c r="C18" s="31">
        <v>0.29</v>
      </c>
      <c r="D18" s="59"/>
      <c r="F18" s="38">
        <f>F$15+F17</f>
        <v>0.4</v>
      </c>
      <c r="G18" s="32">
        <f t="shared" si="3"/>
        <v>1.5230758853627515</v>
      </c>
      <c r="H18" s="37">
        <f t="shared" si="0"/>
        <v>15.150315991221678</v>
      </c>
      <c r="I18" s="42">
        <f t="shared" si="1"/>
        <v>7.2</v>
      </c>
      <c r="J18" s="32">
        <f t="shared" si="2"/>
        <v>1.5664355987146266</v>
      </c>
      <c r="K18" s="43">
        <f t="shared" si="4"/>
        <v>21.373968498846487</v>
      </c>
    </row>
    <row r="19" spans="2:11" ht="12.75">
      <c r="B19" s="59" t="s">
        <v>16</v>
      </c>
      <c r="C19" s="62">
        <f>C17/(2*(1+C18))</f>
        <v>77519379844.96124</v>
      </c>
      <c r="D19" s="59"/>
      <c r="F19" s="38">
        <f>F$15+F18</f>
        <v>0.5</v>
      </c>
      <c r="G19" s="32">
        <f>1+((F19/dd)^(-0.3-0.2*(D/dd)))/(13+0.3/(D/dd-1))</f>
        <v>1.4524527064210144</v>
      </c>
      <c r="H19" s="37">
        <f t="shared" si="0"/>
        <v>14.447814239631619</v>
      </c>
      <c r="I19" s="42">
        <f t="shared" si="1"/>
        <v>7</v>
      </c>
      <c r="J19" s="32">
        <f t="shared" si="2"/>
        <v>1.5169649964910974</v>
      </c>
      <c r="K19" s="43">
        <f t="shared" si="4"/>
        <v>22.52431278730615</v>
      </c>
    </row>
    <row r="20" spans="2:11" ht="12.75">
      <c r="B20" s="59" t="s">
        <v>19</v>
      </c>
      <c r="C20" s="63">
        <f>PI()*dd^4/32</f>
        <v>402.1238596594935</v>
      </c>
      <c r="D20" s="33"/>
      <c r="F20" s="38">
        <f>F$15+F19</f>
        <v>0.6</v>
      </c>
      <c r="G20" s="32">
        <f t="shared" si="3"/>
        <v>1.4018883161772064</v>
      </c>
      <c r="H20" s="37">
        <f t="shared" si="0"/>
        <v>13.944840948898516</v>
      </c>
      <c r="I20" s="42">
        <f t="shared" si="1"/>
        <v>6.8</v>
      </c>
      <c r="J20" s="32">
        <f t="shared" si="2"/>
        <v>1.480459278413146</v>
      </c>
      <c r="K20" s="43">
        <f t="shared" si="4"/>
        <v>23.979484246459666</v>
      </c>
    </row>
    <row r="21" spans="2:11" ht="12.75">
      <c r="B21" s="59" t="s">
        <v>20</v>
      </c>
      <c r="C21" s="63">
        <f>PI()*(dd-2*C13)^4/32</f>
        <v>235.71762378965917</v>
      </c>
      <c r="D21" s="33"/>
      <c r="F21" s="38">
        <f>F$15+F20</f>
        <v>0.7</v>
      </c>
      <c r="G21" s="32">
        <f t="shared" si="3"/>
        <v>1.3635716131741524</v>
      </c>
      <c r="H21" s="37">
        <f t="shared" si="0"/>
        <v>13.56369765602851</v>
      </c>
      <c r="I21" s="42">
        <f t="shared" si="1"/>
        <v>6.6</v>
      </c>
      <c r="J21" s="32">
        <f t="shared" si="2"/>
        <v>1.4522147981563092</v>
      </c>
      <c r="K21" s="43">
        <f t="shared" si="4"/>
        <v>25.72581612908987</v>
      </c>
    </row>
    <row r="22" spans="2:11" ht="12.75">
      <c r="B22" s="59" t="s">
        <v>18</v>
      </c>
      <c r="C22" s="64">
        <f>C14*C11*((dd/2)/1000)/(C20/1000^4)/1000000</f>
        <v>27.593292637330148</v>
      </c>
      <c r="D22" s="33"/>
      <c r="F22" s="38">
        <f>F$15+F21</f>
        <v>0.7999999999999999</v>
      </c>
      <c r="G22" s="32">
        <f t="shared" si="3"/>
        <v>1.3333459642917636</v>
      </c>
      <c r="H22" s="37">
        <f t="shared" si="0"/>
        <v>13.263037566791498</v>
      </c>
      <c r="I22" s="42">
        <f t="shared" si="1"/>
        <v>6.4</v>
      </c>
      <c r="J22" s="32">
        <f t="shared" si="2"/>
        <v>1.42963423148903</v>
      </c>
      <c r="K22" s="43">
        <f t="shared" si="4"/>
        <v>27.77506771909938</v>
      </c>
    </row>
    <row r="23" spans="2:11" ht="12.75">
      <c r="B23" s="59" t="s">
        <v>17</v>
      </c>
      <c r="C23" s="64">
        <f>C15*C11*(((dd-2*C13)/2)/1000)/(C21/1000^4)/1000000</f>
        <v>43.01826863817314</v>
      </c>
      <c r="D23" s="33"/>
      <c r="F23" s="38">
        <f>F$15+F22</f>
        <v>0.8999999999999999</v>
      </c>
      <c r="G23" s="32">
        <f t="shared" si="3"/>
        <v>1.3087777953436728</v>
      </c>
      <c r="H23" s="37">
        <f t="shared" si="0"/>
        <v>13.018653471116155</v>
      </c>
      <c r="I23" s="42">
        <f t="shared" si="1"/>
        <v>6.2</v>
      </c>
      <c r="J23" s="32">
        <f t="shared" si="2"/>
        <v>1.4111513515074035</v>
      </c>
      <c r="K23" s="43">
        <f t="shared" si="4"/>
        <v>30.15564607340633</v>
      </c>
    </row>
    <row r="24" spans="2:11" ht="13.5" thickBot="1">
      <c r="B24" s="59" t="s">
        <v>9</v>
      </c>
      <c r="C24" s="34">
        <f>D24*180/PI()</f>
        <v>0.1755188975481779</v>
      </c>
      <c r="D24" s="62">
        <f>C11*(C16/1000)/(C19*(C20/1000^4))</f>
        <v>0.0030633826616863064</v>
      </c>
      <c r="F24" s="39">
        <f>F$15+F23</f>
        <v>0.9999999999999999</v>
      </c>
      <c r="G24" s="40">
        <f t="shared" si="3"/>
        <v>1.2883392026641332</v>
      </c>
      <c r="H24" s="41">
        <f t="shared" si="0"/>
        <v>12.815347030191745</v>
      </c>
      <c r="I24" s="44">
        <f t="shared" si="1"/>
        <v>6</v>
      </c>
      <c r="J24" s="40">
        <f t="shared" si="2"/>
        <v>1.3957594364923547</v>
      </c>
      <c r="K24" s="45">
        <f t="shared" si="4"/>
        <v>32.90992795332098</v>
      </c>
    </row>
    <row r="25" spans="2:11" ht="12.75">
      <c r="B25" s="65"/>
      <c r="C25" s="3"/>
      <c r="D25" s="4"/>
      <c r="E25" s="2"/>
      <c r="F25" s="20" t="s">
        <v>29</v>
      </c>
      <c r="G25" s="21"/>
      <c r="H25" s="22"/>
      <c r="I25" s="23" t="s">
        <v>30</v>
      </c>
      <c r="J25" s="24"/>
      <c r="K25" s="25"/>
    </row>
    <row r="26" spans="3:11" ht="12.75">
      <c r="C26"/>
      <c r="D26"/>
      <c r="E26" s="3"/>
      <c r="F26" s="15"/>
      <c r="G26" s="16"/>
      <c r="H26" s="17"/>
      <c r="I26" s="26"/>
      <c r="J26" s="27"/>
      <c r="K26" s="28"/>
    </row>
    <row r="27" spans="5:11" ht="12.75">
      <c r="E27" s="2"/>
      <c r="F27" s="9"/>
      <c r="G27" s="10"/>
      <c r="H27" s="11"/>
      <c r="I27" s="9"/>
      <c r="J27" s="10"/>
      <c r="K27" s="11"/>
    </row>
    <row r="28" spans="5:11" ht="12.75">
      <c r="E28" s="2"/>
      <c r="F28" s="12"/>
      <c r="G28" s="13"/>
      <c r="H28" s="14"/>
      <c r="I28" s="12"/>
      <c r="J28" s="13"/>
      <c r="K28" s="14"/>
    </row>
    <row r="29" spans="3:11" ht="12.75">
      <c r="C29"/>
      <c r="D29"/>
      <c r="E29" s="2"/>
      <c r="F29" s="12"/>
      <c r="G29" s="13"/>
      <c r="H29" s="14"/>
      <c r="I29" s="12"/>
      <c r="J29" s="13"/>
      <c r="K29" s="14"/>
    </row>
    <row r="30" spans="3:11" ht="12.75">
      <c r="C30"/>
      <c r="D30"/>
      <c r="E30" s="2"/>
      <c r="F30" s="12"/>
      <c r="G30" s="13"/>
      <c r="H30" s="14"/>
      <c r="I30" s="12"/>
      <c r="J30" s="13"/>
      <c r="K30" s="14"/>
    </row>
    <row r="31" spans="5:11" ht="12.75">
      <c r="E31" s="2"/>
      <c r="F31" s="12"/>
      <c r="G31" s="13"/>
      <c r="H31" s="14"/>
      <c r="I31" s="12"/>
      <c r="J31" s="13"/>
      <c r="K31" s="14"/>
    </row>
    <row r="32" spans="5:11" ht="12.75">
      <c r="E32" s="2"/>
      <c r="F32" s="15"/>
      <c r="G32" s="16"/>
      <c r="H32" s="17"/>
      <c r="I32" s="15"/>
      <c r="J32" s="16"/>
      <c r="K32" s="17"/>
    </row>
    <row r="33" spans="5:11" ht="12.75">
      <c r="E33" s="2"/>
      <c r="F33" s="29" t="s">
        <v>12</v>
      </c>
      <c r="G33" s="19" t="s">
        <v>1</v>
      </c>
      <c r="H33" s="35" t="s">
        <v>13</v>
      </c>
      <c r="I33" s="29" t="s">
        <v>11</v>
      </c>
      <c r="J33" s="19" t="s">
        <v>1</v>
      </c>
      <c r="K33" s="35" t="s">
        <v>13</v>
      </c>
    </row>
    <row r="34" spans="5:11" ht="13.5" thickBot="1">
      <c r="E34" s="2"/>
      <c r="F34" s="36">
        <v>1</v>
      </c>
      <c r="G34" s="34">
        <f aca="true" t="shared" si="5" ref="G34:G39">1+1.47*(F34/D)^-0.197</f>
        <v>3.4723192920985553</v>
      </c>
      <c r="H34" s="46">
        <f aca="true" t="shared" si="6" ref="H34:H39">G34*1000/(PI()*D^3/16-F34*D^2/6)</f>
        <v>6.86071186066637</v>
      </c>
      <c r="I34" s="49">
        <v>1.5</v>
      </c>
      <c r="J34" s="47">
        <v>1.5</v>
      </c>
      <c r="K34" s="45">
        <f>1000/((PI()*D^3/16)/J34)</f>
        <v>2.7840514826570613</v>
      </c>
    </row>
    <row r="35" spans="5:11" ht="12.75">
      <c r="E35" s="2"/>
      <c r="F35" s="38">
        <f>F34+F$34</f>
        <v>2</v>
      </c>
      <c r="G35" s="34">
        <f t="shared" si="5"/>
        <v>3.156759147184342</v>
      </c>
      <c r="H35" s="46">
        <f t="shared" si="6"/>
        <v>6.6675687731401965</v>
      </c>
      <c r="I35" s="30"/>
      <c r="J35" s="30"/>
      <c r="K35" s="30"/>
    </row>
    <row r="36" spans="5:11" ht="12.75">
      <c r="E36" s="5"/>
      <c r="F36" s="38">
        <f>F35+F$34</f>
        <v>3</v>
      </c>
      <c r="G36" s="34">
        <f t="shared" si="5"/>
        <v>2.991185268730752</v>
      </c>
      <c r="H36" s="46">
        <f t="shared" si="6"/>
        <v>6.786070057297558</v>
      </c>
      <c r="I36" s="30"/>
      <c r="J36" s="30"/>
      <c r="K36" s="30"/>
    </row>
    <row r="37" spans="5:11" ht="12.75">
      <c r="E37" s="5"/>
      <c r="F37" s="38">
        <f>F36+F$34</f>
        <v>4</v>
      </c>
      <c r="G37" s="34">
        <f t="shared" si="5"/>
        <v>2.8814762453335665</v>
      </c>
      <c r="H37" s="46">
        <f t="shared" si="6"/>
        <v>7.060426209113265</v>
      </c>
      <c r="I37" s="30"/>
      <c r="J37" s="30"/>
      <c r="K37" s="30"/>
    </row>
    <row r="38" spans="5:11" ht="12.75">
      <c r="E38" s="4"/>
      <c r="F38" s="38">
        <f>F37+F$34</f>
        <v>5</v>
      </c>
      <c r="G38" s="34">
        <f t="shared" si="5"/>
        <v>2.8005594568559893</v>
      </c>
      <c r="H38" s="46">
        <f t="shared" si="6"/>
        <v>7.459211341840479</v>
      </c>
      <c r="I38" s="30"/>
      <c r="J38" s="30"/>
      <c r="K38" s="30"/>
    </row>
    <row r="39" spans="6:11" ht="13.5" thickBot="1">
      <c r="F39" s="39">
        <f>F38+F$34</f>
        <v>6</v>
      </c>
      <c r="G39" s="47">
        <f t="shared" si="5"/>
        <v>2.737035768720834</v>
      </c>
      <c r="H39" s="48">
        <f t="shared" si="6"/>
        <v>7.984744430537105</v>
      </c>
      <c r="I39" s="30"/>
      <c r="J39" s="30"/>
      <c r="K39" s="30"/>
    </row>
  </sheetData>
  <mergeCells count="12">
    <mergeCell ref="F27:H32"/>
    <mergeCell ref="I27:K32"/>
    <mergeCell ref="F8:H13"/>
    <mergeCell ref="I8:K13"/>
    <mergeCell ref="F25:H26"/>
    <mergeCell ref="I25:K26"/>
    <mergeCell ref="F7:H7"/>
    <mergeCell ref="I7:K7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Simon Nolet</cp:lastModifiedBy>
  <dcterms:created xsi:type="dcterms:W3CDTF">2001-01-21T22:59:27Z</dcterms:created>
  <dcterms:modified xsi:type="dcterms:W3CDTF">2005-01-05T22:05:34Z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